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nees\Documents\AGM 2018\"/>
    </mc:Choice>
  </mc:AlternateContent>
  <bookViews>
    <workbookView xWindow="0" yWindow="0" windowWidth="28800" windowHeight="12435" tabRatio="500"/>
  </bookViews>
  <sheets>
    <sheet name="5 year comparative" sheetId="6" r:id="rId1"/>
  </sheets>
  <definedNames>
    <definedName name="_xlnm.Print_Area" localSheetId="0">'5 year comparative'!$A$1:$H$231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8" i="6" l="1"/>
  <c r="G118" i="6"/>
  <c r="G104" i="6"/>
  <c r="G99" i="6"/>
  <c r="G97" i="6"/>
  <c r="G124" i="6" l="1"/>
  <c r="G94" i="6"/>
  <c r="G81" i="6"/>
  <c r="H208" i="6" l="1"/>
  <c r="H207" i="6"/>
  <c r="H206" i="6"/>
  <c r="H205" i="6"/>
  <c r="H204" i="6"/>
  <c r="H203" i="6"/>
  <c r="H202" i="6"/>
  <c r="H196" i="6"/>
  <c r="H195" i="6"/>
  <c r="H194" i="6"/>
  <c r="H187" i="6"/>
  <c r="H185" i="6"/>
  <c r="H184" i="6"/>
  <c r="H182" i="6"/>
  <c r="H177" i="6"/>
  <c r="H175" i="6"/>
  <c r="H173" i="6"/>
  <c r="H172" i="6"/>
  <c r="H171" i="6"/>
  <c r="H170" i="6"/>
  <c r="H169" i="6"/>
  <c r="H168" i="6"/>
  <c r="H167" i="6"/>
  <c r="H166" i="6"/>
  <c r="H165" i="6"/>
  <c r="H164" i="6"/>
  <c r="H158" i="6"/>
  <c r="H156" i="6"/>
  <c r="H155" i="6"/>
  <c r="H154" i="6"/>
  <c r="H151" i="6"/>
  <c r="H150" i="6"/>
  <c r="H148" i="6"/>
  <c r="H146" i="6"/>
  <c r="H145" i="6"/>
  <c r="H144" i="6"/>
  <c r="H142" i="6"/>
  <c r="H141" i="6"/>
  <c r="H138" i="6"/>
  <c r="H137" i="6"/>
  <c r="H136" i="6"/>
  <c r="H135" i="6"/>
  <c r="H134" i="6"/>
  <c r="H128" i="6"/>
  <c r="H126" i="6"/>
  <c r="H125" i="6"/>
  <c r="H124" i="6"/>
  <c r="H123" i="6"/>
  <c r="H122" i="6"/>
  <c r="H121" i="6"/>
  <c r="H120" i="6"/>
  <c r="H119" i="6"/>
  <c r="H118" i="6"/>
  <c r="H115" i="6"/>
  <c r="H114" i="6"/>
  <c r="H112" i="6"/>
  <c r="H111" i="6"/>
  <c r="H110" i="6"/>
  <c r="H109" i="6"/>
  <c r="H108" i="6"/>
  <c r="H107" i="6"/>
  <c r="H104" i="6"/>
  <c r="H103" i="6"/>
  <c r="H102" i="6"/>
  <c r="H101" i="6"/>
  <c r="H100" i="6"/>
  <c r="H98" i="6"/>
  <c r="H97" i="6"/>
  <c r="H96" i="6"/>
  <c r="H95" i="6"/>
  <c r="H93" i="6"/>
  <c r="H92" i="6"/>
  <c r="H91" i="6"/>
  <c r="H89" i="6"/>
  <c r="H88" i="6"/>
  <c r="H87" i="6"/>
  <c r="H86" i="6"/>
  <c r="H84" i="6"/>
  <c r="H83" i="6"/>
  <c r="H82" i="6"/>
  <c r="H81" i="6"/>
  <c r="H79" i="6"/>
  <c r="H78" i="6"/>
  <c r="H77" i="6"/>
  <c r="H75" i="6"/>
  <c r="H57" i="6"/>
  <c r="H56" i="6"/>
  <c r="H55" i="6"/>
  <c r="H54" i="6"/>
  <c r="H53" i="6"/>
  <c r="H52" i="6"/>
  <c r="H50" i="6"/>
  <c r="H48" i="6"/>
  <c r="H47" i="6"/>
  <c r="H46" i="6"/>
  <c r="H45" i="6"/>
  <c r="H44" i="6"/>
  <c r="H43" i="6"/>
  <c r="H42" i="6"/>
  <c r="H40" i="6"/>
  <c r="H39" i="6"/>
  <c r="H38" i="6"/>
  <c r="H37" i="6"/>
  <c r="H36" i="6"/>
  <c r="H33" i="6"/>
  <c r="H32" i="6"/>
  <c r="H31" i="6"/>
  <c r="H30" i="6"/>
  <c r="H29" i="6"/>
  <c r="H28" i="6"/>
  <c r="H24" i="6"/>
  <c r="H23" i="6"/>
  <c r="H22" i="6"/>
  <c r="H21" i="6"/>
  <c r="H19" i="6"/>
  <c r="H18" i="6"/>
  <c r="H17" i="6"/>
  <c r="H16" i="6"/>
  <c r="H15" i="6"/>
  <c r="H14" i="6"/>
  <c r="H12" i="6"/>
  <c r="H11" i="6"/>
  <c r="H9" i="6"/>
  <c r="H8" i="6"/>
  <c r="H7" i="6"/>
  <c r="F117" i="6" l="1"/>
  <c r="H117" i="6" s="1"/>
  <c r="F127" i="6"/>
  <c r="F34" i="6"/>
  <c r="F58" i="6" s="1"/>
  <c r="G188" i="6"/>
  <c r="G214" i="6" s="1"/>
  <c r="F188" i="6"/>
  <c r="F214" i="6" s="1"/>
  <c r="E188" i="6"/>
  <c r="E214" i="6" s="1"/>
  <c r="D188" i="6"/>
  <c r="D214" i="6" s="1"/>
  <c r="E85" i="6"/>
  <c r="H85" i="6" s="1"/>
  <c r="G197" i="6"/>
  <c r="F197" i="6"/>
  <c r="E197" i="6"/>
  <c r="D197" i="6"/>
  <c r="E140" i="6"/>
  <c r="E76" i="6"/>
  <c r="E161" i="6"/>
  <c r="E127" i="6"/>
  <c r="E34" i="6"/>
  <c r="E58" i="6" s="1"/>
  <c r="E62" i="6" s="1"/>
  <c r="E94" i="6"/>
  <c r="C140" i="6"/>
  <c r="D140" i="6"/>
  <c r="G209" i="6"/>
  <c r="F209" i="6"/>
  <c r="E209" i="6"/>
  <c r="D209" i="6"/>
  <c r="G179" i="6"/>
  <c r="G213" i="6" s="1"/>
  <c r="G58" i="6"/>
  <c r="G62" i="6" s="1"/>
  <c r="G25" i="6"/>
  <c r="G61" i="6" s="1"/>
  <c r="F25" i="6"/>
  <c r="F61" i="6" s="1"/>
  <c r="E25" i="6"/>
  <c r="E61" i="6" s="1"/>
  <c r="D25" i="6"/>
  <c r="D159" i="6"/>
  <c r="H159" i="6" s="1"/>
  <c r="D76" i="6"/>
  <c r="D127" i="6"/>
  <c r="D94" i="6"/>
  <c r="D34" i="6"/>
  <c r="D35" i="6"/>
  <c r="H35" i="6" s="1"/>
  <c r="F179" i="6" l="1"/>
  <c r="F213" i="6" s="1"/>
  <c r="G215" i="6"/>
  <c r="G216" i="6" s="1"/>
  <c r="H34" i="6"/>
  <c r="D215" i="6"/>
  <c r="E215" i="6"/>
  <c r="F215" i="6"/>
  <c r="E63" i="6"/>
  <c r="G63" i="6"/>
  <c r="H140" i="6"/>
  <c r="H94" i="6"/>
  <c r="D61" i="6"/>
  <c r="D58" i="6"/>
  <c r="D62" i="6" s="1"/>
  <c r="G59" i="6"/>
  <c r="F62" i="6"/>
  <c r="F63" i="6" s="1"/>
  <c r="G189" i="6"/>
  <c r="D179" i="6"/>
  <c r="F59" i="6"/>
  <c r="E179" i="6"/>
  <c r="E59" i="6"/>
  <c r="C131" i="6"/>
  <c r="H131" i="6" s="1"/>
  <c r="C130" i="6"/>
  <c r="H130" i="6" s="1"/>
  <c r="C127" i="6"/>
  <c r="H127" i="6" s="1"/>
  <c r="C178" i="6"/>
  <c r="H178" i="6" s="1"/>
  <c r="C76" i="6"/>
  <c r="H76" i="6" s="1"/>
  <c r="C99" i="6"/>
  <c r="H99" i="6" s="1"/>
  <c r="C161" i="6"/>
  <c r="H161" i="6" s="1"/>
  <c r="C58" i="6"/>
  <c r="C25" i="6"/>
  <c r="H25" i="6" s="1"/>
  <c r="F216" i="6" l="1"/>
  <c r="F189" i="6"/>
  <c r="F191" i="6" s="1"/>
  <c r="F199" i="6" s="1"/>
  <c r="F211" i="6" s="1"/>
  <c r="G191" i="6"/>
  <c r="G199" i="6" s="1"/>
  <c r="G211" i="6" s="1"/>
  <c r="G218" i="6"/>
  <c r="F218" i="6"/>
  <c r="H58" i="6"/>
  <c r="D189" i="6"/>
  <c r="D213" i="6"/>
  <c r="D216" i="6" s="1"/>
  <c r="D59" i="6"/>
  <c r="E189" i="6"/>
  <c r="E191" i="6" s="1"/>
  <c r="E199" i="6" s="1"/>
  <c r="E211" i="6" s="1"/>
  <c r="E213" i="6"/>
  <c r="E216" i="6" s="1"/>
  <c r="E218" i="6" s="1"/>
  <c r="D63" i="6"/>
  <c r="C209" i="6"/>
  <c r="H209" i="6" s="1"/>
  <c r="C197" i="6"/>
  <c r="C188" i="6"/>
  <c r="C179" i="6"/>
  <c r="C62" i="6"/>
  <c r="H62" i="6" s="1"/>
  <c r="C61" i="6"/>
  <c r="H61" i="6" s="1"/>
  <c r="D218" i="6" l="1"/>
  <c r="H197" i="6"/>
  <c r="C215" i="6"/>
  <c r="H215" i="6" s="1"/>
  <c r="C213" i="6"/>
  <c r="H179" i="6"/>
  <c r="D191" i="6"/>
  <c r="D199" i="6" s="1"/>
  <c r="D211" i="6" s="1"/>
  <c r="C214" i="6"/>
  <c r="H214" i="6" s="1"/>
  <c r="H188" i="6"/>
  <c r="C189" i="6"/>
  <c r="H189" i="6" s="1"/>
  <c r="C63" i="6"/>
  <c r="C59" i="6"/>
  <c r="H59" i="6" s="1"/>
  <c r="H213" i="6" l="1"/>
  <c r="C216" i="6"/>
  <c r="H216" i="6" s="1"/>
  <c r="H63" i="6"/>
  <c r="C191" i="6"/>
  <c r="C218" i="6" l="1"/>
  <c r="H218" i="6"/>
  <c r="C199" i="6"/>
  <c r="H191" i="6"/>
  <c r="C211" i="6" l="1"/>
  <c r="H211" i="6" s="1"/>
  <c r="H199" i="6"/>
</calcChain>
</file>

<file path=xl/sharedStrings.xml><?xml version="1.0" encoding="utf-8"?>
<sst xmlns="http://schemas.openxmlformats.org/spreadsheetml/2006/main" count="212" uniqueCount="185">
  <si>
    <t>REVENUE-CORE</t>
  </si>
  <si>
    <t>Expense recovery</t>
  </si>
  <si>
    <t xml:space="preserve">   Associate alumni and supporter @ $10.00/ea</t>
  </si>
  <si>
    <t xml:space="preserve">   Uniform name badges</t>
  </si>
  <si>
    <t xml:space="preserve">   Registration</t>
  </si>
  <si>
    <t>REVENUE-NON CORE</t>
  </si>
  <si>
    <t xml:space="preserve">   Summit supporters</t>
  </si>
  <si>
    <t xml:space="preserve">   Advertising-web banners and newsletter</t>
  </si>
  <si>
    <t>Expense recovery (external)</t>
  </si>
  <si>
    <t xml:space="preserve">   First aid programs</t>
  </si>
  <si>
    <t>Sales</t>
  </si>
  <si>
    <t>EXPENSES-CORE</t>
  </si>
  <si>
    <t>Board of Directors</t>
  </si>
  <si>
    <t xml:space="preserve">   Meetings - internal</t>
  </si>
  <si>
    <t>CEO (President)</t>
  </si>
  <si>
    <t>Brand and Partners</t>
  </si>
  <si>
    <t xml:space="preserve">   Travel &amp; accommodation</t>
  </si>
  <si>
    <t xml:space="preserve">   Audio visual</t>
  </si>
  <si>
    <t xml:space="preserve">   Speakers and gifts</t>
  </si>
  <si>
    <t xml:space="preserve">   Swag</t>
  </si>
  <si>
    <t xml:space="preserve">   Entertainment</t>
  </si>
  <si>
    <t xml:space="preserve">   Awards</t>
  </si>
  <si>
    <t xml:space="preserve">   Venue (room rental, F&amp;B)</t>
  </si>
  <si>
    <t xml:space="preserve">   Chair (travel, phone, incidentals)</t>
  </si>
  <si>
    <t xml:space="preserve">   Directors (travel, phone, incidentals)</t>
  </si>
  <si>
    <t>Head Office</t>
  </si>
  <si>
    <t xml:space="preserve">   Contingency fund reimbursement</t>
  </si>
  <si>
    <t xml:space="preserve">   Interest and bank charges</t>
  </si>
  <si>
    <t xml:space="preserve">   Professional fees - external audit</t>
  </si>
  <si>
    <t xml:space="preserve">   Patroller resources - ID card</t>
  </si>
  <si>
    <t xml:space="preserve">   Translation</t>
  </si>
  <si>
    <t xml:space="preserve">   National database</t>
  </si>
  <si>
    <t xml:space="preserve">   AD&amp;D and wage replacement</t>
  </si>
  <si>
    <t xml:space="preserve">   D&amp;O liability</t>
  </si>
  <si>
    <t xml:space="preserve">   FIPS membership</t>
  </si>
  <si>
    <t xml:space="preserve">   Fall planning session</t>
  </si>
  <si>
    <t xml:space="preserve">   CISM course</t>
  </si>
  <si>
    <t xml:space="preserve">   Patroller materials and resources</t>
  </si>
  <si>
    <t>Members and Resorts</t>
  </si>
  <si>
    <t>Training and development</t>
  </si>
  <si>
    <t xml:space="preserve">   Exams </t>
  </si>
  <si>
    <t xml:space="preserve">   Instructor resource materials</t>
  </si>
  <si>
    <t>Subtotal non-core expenses</t>
  </si>
  <si>
    <t>EXEPENSES-NON CORE</t>
  </si>
  <si>
    <t>TOTAL NET REVENUES</t>
  </si>
  <si>
    <t>TOTAL OPERATING EXPENSES</t>
  </si>
  <si>
    <t>Meetings:</t>
  </si>
  <si>
    <t>Dues, fees and subscriptions:</t>
  </si>
  <si>
    <t>Insurance:</t>
  </si>
  <si>
    <t>Safety:</t>
  </si>
  <si>
    <t>Educational Resources:</t>
  </si>
  <si>
    <t>Surplus (deficit) before other income</t>
  </si>
  <si>
    <t>Total interest income</t>
  </si>
  <si>
    <t>Surplus (deficit) before other items</t>
  </si>
  <si>
    <t>Interest income</t>
  </si>
  <si>
    <t xml:space="preserve">   Amortization</t>
  </si>
  <si>
    <t xml:space="preserve">   Bad debt expense</t>
  </si>
  <si>
    <t>Total other items</t>
  </si>
  <si>
    <t>Other items</t>
  </si>
  <si>
    <t>Excess (deficiency) for the year</t>
  </si>
  <si>
    <r>
      <t xml:space="preserve">   </t>
    </r>
    <r>
      <rPr>
        <sz val="9"/>
        <color theme="1"/>
        <rFont val="Tahoma"/>
        <family val="2"/>
      </rPr>
      <t>Communications - external</t>
    </r>
  </si>
  <si>
    <t xml:space="preserve">   Marketing strategy &amp; execution</t>
  </si>
  <si>
    <t>Business Operations</t>
  </si>
  <si>
    <t xml:space="preserve">   Division and zone project support</t>
  </si>
  <si>
    <t xml:space="preserve">   Contribution from ski swap</t>
  </si>
  <si>
    <t xml:space="preserve">   General liability</t>
  </si>
  <si>
    <t>Fees</t>
  </si>
  <si>
    <t xml:space="preserve">   Alpine and Nordic uniforms</t>
  </si>
  <si>
    <t>National conference</t>
  </si>
  <si>
    <t>Fund development (in house)</t>
  </si>
  <si>
    <t>Fund development (external)</t>
  </si>
  <si>
    <t xml:space="preserve">   Rent (Gatineau Zone)</t>
  </si>
  <si>
    <t>Corporate communications:</t>
  </si>
  <si>
    <t>Fund development:</t>
  </si>
  <si>
    <t>National conference:</t>
  </si>
  <si>
    <t xml:space="preserve">   GoToMeeting</t>
  </si>
  <si>
    <t xml:space="preserve">   GoToWebinar </t>
  </si>
  <si>
    <t xml:space="preserve">   Gain/loss on disposal of asset</t>
  </si>
  <si>
    <t xml:space="preserve">   Associate on-snow certification @ $75.00/ea</t>
  </si>
  <si>
    <t xml:space="preserve">   AD&amp;D, wage replacement insurance</t>
  </si>
  <si>
    <t xml:space="preserve">   D&amp;O liability insurance</t>
  </si>
  <si>
    <t>Cost of goods sold:</t>
  </si>
  <si>
    <t xml:space="preserve">   One-time non-recurring</t>
  </si>
  <si>
    <t>Subtotal core expenses</t>
  </si>
  <si>
    <t>Subtotal core revenue</t>
  </si>
  <si>
    <t>Subtotal non-core revenue</t>
  </si>
  <si>
    <t xml:space="preserve">   NLC Sales</t>
  </si>
  <si>
    <t xml:space="preserve">   NLC Silent Auction</t>
  </si>
  <si>
    <t xml:space="preserve">   NLC Sponsorships</t>
  </si>
  <si>
    <t xml:space="preserve">   NLC Tradeshow Booths</t>
  </si>
  <si>
    <t xml:space="preserve">   Cost share fall operational meeting</t>
  </si>
  <si>
    <t xml:space="preserve">   Cost share NLC</t>
  </si>
  <si>
    <t xml:space="preserve">   Advertising-Sponsorship</t>
  </si>
  <si>
    <t xml:space="preserve">   Brand Alliance Royalties</t>
  </si>
  <si>
    <t xml:space="preserve">   Affinity Program - AED4Life</t>
  </si>
  <si>
    <t xml:space="preserve">   Affinty Program - Amazon</t>
  </si>
  <si>
    <t xml:space="preserve">   Affinty Program - Johnson Insurance</t>
  </si>
  <si>
    <t xml:space="preserve">   Affinty Program - MBNA</t>
  </si>
  <si>
    <t xml:space="preserve">   Direct mail campaign donations</t>
  </si>
  <si>
    <t xml:space="preserve">   Direct mail campaign non-receipted donations</t>
  </si>
  <si>
    <t xml:space="preserve">   Processing fees</t>
  </si>
  <si>
    <t xml:space="preserve">   Royalty income</t>
  </si>
  <si>
    <t xml:space="preserve">   Supply depot - freight</t>
  </si>
  <si>
    <t xml:space="preserve">   NLC Translation grants</t>
  </si>
  <si>
    <t xml:space="preserve">   Contrbutions from deferred revenue</t>
  </si>
  <si>
    <t xml:space="preserve">   Investment interest earned</t>
  </si>
  <si>
    <t xml:space="preserve">   Interest earned</t>
  </si>
  <si>
    <t xml:space="preserve">   GST/HST expense</t>
  </si>
  <si>
    <t>Other Revenues</t>
  </si>
  <si>
    <t xml:space="preserve">   E-News letters</t>
  </si>
  <si>
    <t xml:space="preserve">   Web page management</t>
  </si>
  <si>
    <t xml:space="preserve">   Direct mail campaign postage</t>
  </si>
  <si>
    <t xml:space="preserve">   Direct mail campaign external services</t>
  </si>
  <si>
    <t xml:space="preserve">   Support staff </t>
  </si>
  <si>
    <t xml:space="preserve">   AC On Site</t>
  </si>
  <si>
    <t xml:space="preserve">   Signage &amp; graphics</t>
  </si>
  <si>
    <t xml:space="preserve">   Commerical insurance</t>
  </si>
  <si>
    <t xml:space="preserve">   First aid manuals</t>
  </si>
  <si>
    <t xml:space="preserve">   ICP module first aid</t>
  </si>
  <si>
    <t xml:space="preserve">   ICP module on snow</t>
  </si>
  <si>
    <t xml:space="preserve">   On line testing</t>
  </si>
  <si>
    <t xml:space="preserve">   CPR/AED</t>
  </si>
  <si>
    <t xml:space="preserve">   Meetings - external (NSP)</t>
  </si>
  <si>
    <t xml:space="preserve">   Meetings - external (CSC)</t>
  </si>
  <si>
    <t xml:space="preserve">   FIPS Conference</t>
  </si>
  <si>
    <t xml:space="preserve">   Over limits legal fees</t>
  </si>
  <si>
    <t xml:space="preserve">   Meetings - internal (with MC)</t>
  </si>
  <si>
    <t xml:space="preserve">   Meetings - internal (with board)</t>
  </si>
  <si>
    <t xml:space="preserve">   Meetings - internal (AGM)</t>
  </si>
  <si>
    <t xml:space="preserve">   On snow seminars</t>
  </si>
  <si>
    <t xml:space="preserve">   ILCOR membership</t>
  </si>
  <si>
    <t xml:space="preserve">   Incidentals</t>
  </si>
  <si>
    <t xml:space="preserve">   Cost of goods sold (HO Supply Depot)</t>
  </si>
  <si>
    <t xml:space="preserve">   Brand Alliance</t>
  </si>
  <si>
    <t xml:space="preserve">   Brand Alliance - freight</t>
  </si>
  <si>
    <t xml:space="preserve">   Freight alpine and nordic uniforms</t>
  </si>
  <si>
    <t xml:space="preserve">   Member certification</t>
  </si>
  <si>
    <t xml:space="preserve">   Head office supply depot sales</t>
  </si>
  <si>
    <t xml:space="preserve">   NLC Registration Fees</t>
  </si>
  <si>
    <t xml:space="preserve">   Advertising-manual sponsorship</t>
  </si>
  <si>
    <t xml:space="preserve">   Partner fees</t>
  </si>
  <si>
    <t xml:space="preserve">   Brand Alliance Sales </t>
  </si>
  <si>
    <t xml:space="preserve">   Donations - unsolicited</t>
  </si>
  <si>
    <t xml:space="preserve">   Multiview</t>
  </si>
  <si>
    <t xml:space="preserve">   NLC - travel &amp; accommodation</t>
  </si>
  <si>
    <t xml:space="preserve">   Travel - Zones &amp; Divisions</t>
  </si>
  <si>
    <t xml:space="preserve">   Wages and benefits</t>
  </si>
  <si>
    <t xml:space="preserve">   Office automation (equipment &amp; other)</t>
  </si>
  <si>
    <t xml:space="preserve">   Subcontract</t>
  </si>
  <si>
    <t xml:space="preserve">   Office - telephone, postage, incidentals</t>
  </si>
  <si>
    <t xml:space="preserve">   Office supplies</t>
  </si>
  <si>
    <t xml:space="preserve">   Equipment rentals</t>
  </si>
  <si>
    <t xml:space="preserve">   Overhead - utilities, taxes, services</t>
  </si>
  <si>
    <t xml:space="preserve">   Building repairs &amp; maintenance</t>
  </si>
  <si>
    <t xml:space="preserve">   Professional recruitment fees</t>
  </si>
  <si>
    <t xml:space="preserve">   First aid compettion</t>
  </si>
  <si>
    <t xml:space="preserve">   Industry Events</t>
  </si>
  <si>
    <t>Ref. # Sage GL</t>
  </si>
  <si>
    <t xml:space="preserve">   Endowment fund mgmt fees</t>
  </si>
  <si>
    <t>Core revenue</t>
  </si>
  <si>
    <t>Core expenses</t>
  </si>
  <si>
    <t>Non core expenses</t>
  </si>
  <si>
    <t>Canadian Ski Patrol/Patrouille Canadienne de ski</t>
  </si>
  <si>
    <t>Non core revenue</t>
  </si>
  <si>
    <t xml:space="preserve">   Peer to Peer campaign</t>
  </si>
  <si>
    <t xml:space="preserve">   On snow workshops</t>
  </si>
  <si>
    <t xml:space="preserve">   Travel - Head Office</t>
  </si>
  <si>
    <t>Average</t>
  </si>
  <si>
    <t>Net surplus (deficit)</t>
  </si>
  <si>
    <t>5 year comparative</t>
  </si>
  <si>
    <t>March 31</t>
  </si>
  <si>
    <t>2014</t>
  </si>
  <si>
    <t>2015</t>
  </si>
  <si>
    <t>2016</t>
  </si>
  <si>
    <t>2017</t>
  </si>
  <si>
    <t>2018</t>
  </si>
  <si>
    <t xml:space="preserve">   Cost share CSC travel</t>
  </si>
  <si>
    <t xml:space="preserve">   Endowment fund</t>
  </si>
  <si>
    <t>In certain instances the 2014-2017 amounts presented for comparative purposes have been restated to conform with the presentation adopted for the current year</t>
  </si>
  <si>
    <t xml:space="preserve">Comparative amounts: </t>
  </si>
  <si>
    <t>Page 1</t>
  </si>
  <si>
    <t>Page 2</t>
  </si>
  <si>
    <t>Page 3</t>
  </si>
  <si>
    <t>(a)</t>
  </si>
  <si>
    <t>(a) agrees to audit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</si>
</sst>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0"/>
      <color theme="1"/>
      <name val="Tahoma"/>
      <family val="2"/>
    </font>
    <font>
      <sz val="9"/>
      <color theme="1"/>
      <name val="Arial"/>
      <family val="2"/>
    </font>
    <font>
      <i/>
      <sz val="10"/>
      <color theme="1"/>
      <name val="Tahoma"/>
      <family val="2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i/>
      <sz val="9"/>
      <color theme="1"/>
      <name val="Tahoma"/>
      <family val="2"/>
    </font>
    <font>
      <b/>
      <sz val="9"/>
      <color theme="8" tint="-0.499984740745262"/>
      <name val="Tahoma"/>
      <family val="2"/>
    </font>
    <font>
      <sz val="9"/>
      <color rgb="FFFF0000"/>
      <name val="Tahoma"/>
      <family val="2"/>
    </font>
    <font>
      <b/>
      <i/>
      <sz val="9"/>
      <color theme="1"/>
      <name val="Tahoma"/>
      <family val="2"/>
    </font>
    <font>
      <i/>
      <sz val="9"/>
      <color rgb="FF0033CC"/>
      <name val="Tahoma"/>
      <family val="2"/>
    </font>
    <font>
      <b/>
      <sz val="9"/>
      <color theme="1"/>
      <name val="Arial"/>
      <family val="2"/>
    </font>
    <font>
      <sz val="9"/>
      <color theme="0"/>
      <name val="Tahoma"/>
      <family val="2"/>
    </font>
    <font>
      <sz val="9"/>
      <color theme="5" tint="-0.499984740745262"/>
      <name val="Arial"/>
      <family val="2"/>
    </font>
    <font>
      <sz val="9"/>
      <color theme="5" tint="-0.49998474074526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wrapText="1" indent="1"/>
    </xf>
    <xf numFmtId="44" fontId="8" fillId="0" borderId="0" xfId="0" applyNumberFormat="1" applyFont="1" applyAlignment="1">
      <alignment horizontal="right" indent="1"/>
    </xf>
    <xf numFmtId="0" fontId="8" fillId="0" borderId="0" xfId="0" applyFont="1"/>
    <xf numFmtId="44" fontId="8" fillId="0" borderId="0" xfId="0" applyNumberFormat="1" applyFont="1"/>
    <xf numFmtId="0" fontId="10" fillId="0" borderId="1" xfId="0" applyFont="1" applyFill="1" applyBorder="1" applyAlignment="1">
      <alignment horizontal="left" vertical="center"/>
    </xf>
    <xf numFmtId="44" fontId="11" fillId="2" borderId="1" xfId="1" applyNumberFormat="1" applyFont="1" applyFill="1" applyBorder="1" applyAlignment="1">
      <alignment horizontal="center" vertical="center" wrapText="1"/>
    </xf>
    <xf numFmtId="44" fontId="7" fillId="6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4" fontId="8" fillId="3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44" fontId="8" fillId="0" borderId="2" xfId="0" applyNumberFormat="1" applyFont="1" applyBorder="1"/>
    <xf numFmtId="0" fontId="10" fillId="0" borderId="0" xfId="0" applyFont="1"/>
    <xf numFmtId="44" fontId="8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Alignment="1">
      <alignment horizontal="right" wrapText="1" indent="1"/>
    </xf>
    <xf numFmtId="44" fontId="8" fillId="0" borderId="0" xfId="0" applyNumberFormat="1" applyFont="1" applyFill="1" applyAlignment="1">
      <alignment horizontal="right" indent="1"/>
    </xf>
    <xf numFmtId="0" fontId="15" fillId="0" borderId="0" xfId="0" applyFont="1"/>
    <xf numFmtId="4" fontId="8" fillId="0" borderId="0" xfId="0" applyNumberFormat="1" applyFo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/>
    <xf numFmtId="0" fontId="7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vertical="top"/>
    </xf>
    <xf numFmtId="4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right"/>
    </xf>
    <xf numFmtId="44" fontId="8" fillId="0" borderId="3" xfId="0" applyNumberFormat="1" applyFont="1" applyBorder="1"/>
    <xf numFmtId="44" fontId="8" fillId="0" borderId="0" xfId="0" applyNumberFormat="1" applyFont="1" applyBorder="1"/>
    <xf numFmtId="44" fontId="8" fillId="0" borderId="4" xfId="0" applyNumberFormat="1" applyFont="1" applyBorder="1" applyAlignment="1"/>
    <xf numFmtId="0" fontId="2" fillId="0" borderId="0" xfId="0" applyFont="1" applyAlignment="1"/>
    <xf numFmtId="44" fontId="7" fillId="0" borderId="0" xfId="0" applyNumberFormat="1" applyFont="1"/>
    <xf numFmtId="44" fontId="8" fillId="7" borderId="1" xfId="1" applyNumberFormat="1" applyFont="1" applyFill="1" applyBorder="1" applyAlignment="1">
      <alignment horizontal="right"/>
    </xf>
    <xf numFmtId="44" fontId="8" fillId="6" borderId="1" xfId="1" applyNumberFormat="1" applyFont="1" applyFill="1" applyBorder="1" applyAlignment="1">
      <alignment horizontal="center" vertical="center"/>
    </xf>
    <xf numFmtId="44" fontId="16" fillId="5" borderId="1" xfId="0" applyNumberFormat="1" applyFont="1" applyFill="1" applyBorder="1" applyAlignment="1">
      <alignment horizontal="right" vertical="center"/>
    </xf>
    <xf numFmtId="44" fontId="8" fillId="7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40" fontId="8" fillId="0" borderId="0" xfId="0" applyNumberFormat="1" applyFont="1" applyAlignment="1">
      <alignment horizontal="right" indent="1"/>
    </xf>
    <xf numFmtId="40" fontId="17" fillId="0" borderId="0" xfId="0" applyNumberFormat="1" applyFont="1"/>
    <xf numFmtId="40" fontId="17" fillId="0" borderId="0" xfId="0" applyNumberFormat="1" applyFont="1" applyAlignment="1">
      <alignment horizontal="center"/>
    </xf>
    <xf numFmtId="40" fontId="18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8" fontId="18" fillId="0" borderId="0" xfId="0" applyNumberFormat="1" applyFont="1" applyAlignment="1">
      <alignment vertical="center"/>
    </xf>
    <xf numFmtId="40" fontId="18" fillId="0" borderId="0" xfId="0" applyNumberFormat="1" applyFont="1"/>
    <xf numFmtId="8" fontId="8" fillId="0" borderId="0" xfId="0" applyNumberFormat="1" applyFont="1" applyAlignment="1"/>
    <xf numFmtId="0" fontId="8" fillId="0" borderId="0" xfId="0" applyFont="1" applyAlignment="1"/>
    <xf numFmtId="40" fontId="8" fillId="0" borderId="0" xfId="0" applyNumberFormat="1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9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W226"/>
  <sheetViews>
    <sheetView showGridLines="0" tabSelected="1" workbookViewId="0">
      <pane ySplit="3" topLeftCell="A4" activePane="bottomLeft" state="frozen"/>
      <selection pane="bottomLeft" activeCell="F228" sqref="F228"/>
    </sheetView>
  </sheetViews>
  <sheetFormatPr defaultColWidth="10.875" defaultRowHeight="15" x14ac:dyDescent="0.2"/>
  <cols>
    <col min="1" max="1" width="35.125" style="8" customWidth="1"/>
    <col min="2" max="2" width="8.5" style="29" customWidth="1"/>
    <col min="3" max="7" width="14.625" style="11" customWidth="1"/>
    <col min="8" max="8" width="12.375" style="66" bestFit="1" customWidth="1"/>
    <col min="9" max="23" width="10.875" style="2"/>
    <col min="24" max="16384" width="10.875" style="1"/>
  </cols>
  <sheetData>
    <row r="1" spans="1:23" ht="20.100000000000001" customHeight="1" x14ac:dyDescent="0.2">
      <c r="A1" s="47" t="s">
        <v>162</v>
      </c>
      <c r="B1" s="30"/>
      <c r="H1" s="65" t="s">
        <v>180</v>
      </c>
      <c r="I1" s="9"/>
      <c r="O1" s="9"/>
    </row>
    <row r="2" spans="1:23" ht="20.100000000000001" customHeight="1" x14ac:dyDescent="0.2">
      <c r="A2" s="49" t="s">
        <v>169</v>
      </c>
      <c r="B2" s="30"/>
      <c r="O2" s="9"/>
    </row>
    <row r="3" spans="1:23" ht="39.950000000000003" customHeight="1" x14ac:dyDescent="0.2">
      <c r="A3" s="48" t="s">
        <v>170</v>
      </c>
      <c r="B3" s="28"/>
      <c r="C3" s="77" t="s">
        <v>171</v>
      </c>
      <c r="D3" s="77" t="s">
        <v>172</v>
      </c>
      <c r="E3" s="77" t="s">
        <v>173</v>
      </c>
      <c r="F3" s="77" t="s">
        <v>174</v>
      </c>
      <c r="G3" s="77" t="s">
        <v>175</v>
      </c>
    </row>
    <row r="4" spans="1:23" ht="22.5" x14ac:dyDescent="0.2">
      <c r="A4" s="7"/>
      <c r="B4" s="28" t="s">
        <v>157</v>
      </c>
      <c r="C4" s="77"/>
      <c r="D4" s="77"/>
      <c r="E4" s="77"/>
      <c r="F4" s="77"/>
      <c r="G4" s="77"/>
      <c r="I4" s="42"/>
    </row>
    <row r="5" spans="1:23" ht="24.95" customHeight="1" x14ac:dyDescent="0.2">
      <c r="A5" s="7" t="s">
        <v>0</v>
      </c>
      <c r="B5" s="28"/>
      <c r="C5" s="37"/>
      <c r="D5" s="50"/>
      <c r="E5" s="50"/>
      <c r="F5" s="50"/>
      <c r="G5" s="36"/>
      <c r="H5" s="67" t="s">
        <v>167</v>
      </c>
      <c r="I5" s="78"/>
      <c r="J5" s="78"/>
      <c r="K5" s="78"/>
      <c r="L5" s="78"/>
      <c r="M5" s="78"/>
      <c r="N5" s="78"/>
      <c r="O5" s="78"/>
    </row>
    <row r="6" spans="1:23" s="3" customFormat="1" ht="17.45" customHeight="1" x14ac:dyDescent="0.25">
      <c r="A6" s="34" t="s">
        <v>66</v>
      </c>
      <c r="B6" s="31"/>
      <c r="C6" s="14"/>
      <c r="D6" s="14"/>
      <c r="E6" s="14"/>
      <c r="F6" s="14"/>
      <c r="G6" s="14"/>
      <c r="H6" s="6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17.45" customHeight="1" x14ac:dyDescent="0.15">
      <c r="A7" s="16" t="s">
        <v>2</v>
      </c>
      <c r="B7" s="32">
        <v>4308</v>
      </c>
      <c r="C7" s="59">
        <v>0</v>
      </c>
      <c r="D7" s="59">
        <v>0</v>
      </c>
      <c r="E7" s="59">
        <v>0</v>
      </c>
      <c r="F7" s="59">
        <v>0</v>
      </c>
      <c r="G7" s="59">
        <v>700</v>
      </c>
      <c r="H7" s="68">
        <f>SUM(C7:G7)/5</f>
        <v>140</v>
      </c>
      <c r="I7" s="3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3" customFormat="1" ht="17.45" customHeight="1" x14ac:dyDescent="0.15">
      <c r="A8" s="16" t="s">
        <v>78</v>
      </c>
      <c r="B8" s="32">
        <v>4309</v>
      </c>
      <c r="C8" s="59">
        <v>0</v>
      </c>
      <c r="D8" s="59">
        <v>0</v>
      </c>
      <c r="E8" s="59">
        <v>0</v>
      </c>
      <c r="F8" s="59">
        <v>0</v>
      </c>
      <c r="G8" s="59">
        <v>75</v>
      </c>
      <c r="H8" s="68">
        <f>SUM(C8:G8)/5</f>
        <v>15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3" customFormat="1" ht="17.45" customHeight="1" x14ac:dyDescent="0.15">
      <c r="A9" s="16" t="s">
        <v>136</v>
      </c>
      <c r="B9" s="32">
        <v>4310</v>
      </c>
      <c r="C9" s="59">
        <v>514790.5</v>
      </c>
      <c r="D9" s="59">
        <v>529540.5</v>
      </c>
      <c r="E9" s="59">
        <v>543200.04</v>
      </c>
      <c r="F9" s="59">
        <v>598530.93999999994</v>
      </c>
      <c r="G9" s="59">
        <v>622697.16</v>
      </c>
      <c r="H9" s="68">
        <f>SUM(C9:G9)/5</f>
        <v>561751.82799999998</v>
      </c>
      <c r="I9" s="3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3" customFormat="1" ht="17.45" customHeight="1" x14ac:dyDescent="0.25">
      <c r="A10" s="34" t="s">
        <v>10</v>
      </c>
      <c r="B10" s="31"/>
      <c r="C10" s="14"/>
      <c r="D10" s="14"/>
      <c r="E10" s="14"/>
      <c r="F10" s="14"/>
      <c r="G10" s="14"/>
      <c r="H10" s="6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3" customFormat="1" ht="17.45" customHeight="1" x14ac:dyDescent="0.15">
      <c r="A11" s="16" t="s">
        <v>67</v>
      </c>
      <c r="B11" s="32">
        <v>4021</v>
      </c>
      <c r="C11" s="59">
        <v>13501</v>
      </c>
      <c r="D11" s="59">
        <v>38190</v>
      </c>
      <c r="E11" s="59">
        <v>473149</v>
      </c>
      <c r="F11" s="59">
        <v>210256.44</v>
      </c>
      <c r="G11" s="59">
        <v>100128.47</v>
      </c>
      <c r="H11" s="68">
        <f>SUM(C11:G11)/5</f>
        <v>167044.98199999999</v>
      </c>
      <c r="I11" s="3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3" customFormat="1" ht="17.45" customHeight="1" x14ac:dyDescent="0.15">
      <c r="A12" s="16" t="s">
        <v>3</v>
      </c>
      <c r="B12" s="32">
        <v>4022</v>
      </c>
      <c r="C12" s="59">
        <v>0</v>
      </c>
      <c r="D12" s="59">
        <v>492</v>
      </c>
      <c r="E12" s="59">
        <v>0</v>
      </c>
      <c r="F12" s="59">
        <v>5513.33</v>
      </c>
      <c r="G12" s="59">
        <v>6569.75</v>
      </c>
      <c r="H12" s="68">
        <f>SUM(C12:G12)/5</f>
        <v>2515.0160000000001</v>
      </c>
      <c r="I12" s="3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3" customFormat="1" ht="17.45" customHeight="1" x14ac:dyDescent="0.25">
      <c r="A13" s="34" t="s">
        <v>68</v>
      </c>
      <c r="B13" s="31"/>
      <c r="C13" s="60"/>
      <c r="D13" s="60"/>
      <c r="E13" s="60"/>
      <c r="F13" s="60"/>
      <c r="G13" s="60"/>
      <c r="H13" s="6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3" customFormat="1" ht="17.45" customHeight="1" x14ac:dyDescent="0.15">
      <c r="A14" s="16" t="s">
        <v>138</v>
      </c>
      <c r="B14" s="32">
        <v>4410</v>
      </c>
      <c r="C14" s="59">
        <v>70259</v>
      </c>
      <c r="D14" s="59">
        <v>53955</v>
      </c>
      <c r="E14" s="59">
        <v>77551</v>
      </c>
      <c r="F14" s="59">
        <v>102039.51</v>
      </c>
      <c r="G14" s="59">
        <v>108546.14</v>
      </c>
      <c r="H14" s="68">
        <f t="shared" ref="H14:H25" si="0">SUM(C14:G14)/5</f>
        <v>82470.13</v>
      </c>
      <c r="I14" s="3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3" customFormat="1" ht="17.45" customHeight="1" x14ac:dyDescent="0.15">
      <c r="A15" s="16" t="s">
        <v>86</v>
      </c>
      <c r="B15" s="32">
        <v>4430</v>
      </c>
      <c r="C15" s="59">
        <v>0</v>
      </c>
      <c r="D15" s="59">
        <v>0</v>
      </c>
      <c r="E15" s="59">
        <v>0</v>
      </c>
      <c r="F15" s="59">
        <v>11949.78</v>
      </c>
      <c r="G15" s="59">
        <v>1823</v>
      </c>
      <c r="H15" s="68">
        <f t="shared" si="0"/>
        <v>2754.556</v>
      </c>
      <c r="I15" s="3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3" customFormat="1" ht="17.45" customHeight="1" x14ac:dyDescent="0.15">
      <c r="A16" s="16" t="s">
        <v>87</v>
      </c>
      <c r="B16" s="32">
        <v>4440</v>
      </c>
      <c r="C16" s="59">
        <v>0</v>
      </c>
      <c r="D16" s="59">
        <v>0</v>
      </c>
      <c r="E16" s="59">
        <v>0</v>
      </c>
      <c r="F16" s="59">
        <v>0</v>
      </c>
      <c r="G16" s="59">
        <v>8830</v>
      </c>
      <c r="H16" s="68">
        <f t="shared" si="0"/>
        <v>1766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3" customFormat="1" ht="17.45" customHeight="1" x14ac:dyDescent="0.15">
      <c r="A17" s="16" t="s">
        <v>88</v>
      </c>
      <c r="B17" s="32">
        <v>4420</v>
      </c>
      <c r="C17" s="59">
        <v>11550</v>
      </c>
      <c r="D17" s="59">
        <v>8920</v>
      </c>
      <c r="E17" s="59">
        <v>7700</v>
      </c>
      <c r="F17" s="59">
        <v>18014.48</v>
      </c>
      <c r="G17" s="59">
        <v>28485</v>
      </c>
      <c r="H17" s="68">
        <f t="shared" si="0"/>
        <v>14933.895999999999</v>
      </c>
      <c r="I17" s="3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3" customFormat="1" ht="17.45" customHeight="1" x14ac:dyDescent="0.15">
      <c r="A18" s="16" t="s">
        <v>89</v>
      </c>
      <c r="B18" s="32">
        <v>4415</v>
      </c>
      <c r="C18" s="59">
        <v>0</v>
      </c>
      <c r="D18" s="59">
        <v>0</v>
      </c>
      <c r="E18" s="59">
        <v>0</v>
      </c>
      <c r="F18" s="59">
        <v>0</v>
      </c>
      <c r="G18" s="59">
        <v>250</v>
      </c>
      <c r="H18" s="68">
        <f t="shared" si="0"/>
        <v>50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3" customFormat="1" ht="17.45" customHeight="1" x14ac:dyDescent="0.15">
      <c r="A19" s="16" t="s">
        <v>103</v>
      </c>
      <c r="B19" s="32">
        <v>4445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8">
        <f t="shared" si="0"/>
        <v>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3" customFormat="1" ht="17.45" customHeight="1" x14ac:dyDescent="0.25">
      <c r="A20" s="34" t="s">
        <v>1</v>
      </c>
      <c r="B20" s="31"/>
      <c r="C20" s="14"/>
      <c r="D20" s="14"/>
      <c r="E20" s="14"/>
      <c r="F20" s="14"/>
      <c r="G20" s="14"/>
      <c r="H20" s="6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3" customFormat="1" ht="17.45" customHeight="1" x14ac:dyDescent="0.15">
      <c r="A21" s="16" t="s">
        <v>79</v>
      </c>
      <c r="B21" s="32">
        <v>4710</v>
      </c>
      <c r="C21" s="59">
        <v>0</v>
      </c>
      <c r="D21" s="59">
        <v>0</v>
      </c>
      <c r="E21" s="59">
        <v>0</v>
      </c>
      <c r="F21" s="59">
        <v>0</v>
      </c>
      <c r="G21" s="59">
        <v>14223.06</v>
      </c>
      <c r="H21" s="68">
        <f t="shared" si="0"/>
        <v>2844.6120000000001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3" customFormat="1" ht="17.45" customHeight="1" x14ac:dyDescent="0.15">
      <c r="A22" s="16" t="s">
        <v>80</v>
      </c>
      <c r="B22" s="32">
        <v>4715</v>
      </c>
      <c r="C22" s="59">
        <v>0</v>
      </c>
      <c r="D22" s="59">
        <v>0</v>
      </c>
      <c r="E22" s="59">
        <v>0</v>
      </c>
      <c r="F22" s="59">
        <v>0</v>
      </c>
      <c r="G22" s="59">
        <v>5208.1099999999997</v>
      </c>
      <c r="H22" s="68">
        <f t="shared" si="0"/>
        <v>1041.6219999999998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3" customFormat="1" ht="17.45" customHeight="1" x14ac:dyDescent="0.15">
      <c r="A23" s="16" t="s">
        <v>90</v>
      </c>
      <c r="B23" s="32">
        <v>4720</v>
      </c>
      <c r="C23" s="59">
        <v>13274.01</v>
      </c>
      <c r="D23" s="59">
        <v>13959.45</v>
      </c>
      <c r="E23" s="59">
        <v>14827.41</v>
      </c>
      <c r="F23" s="59">
        <v>10256.18</v>
      </c>
      <c r="G23" s="59">
        <v>9796.41</v>
      </c>
      <c r="H23" s="68">
        <f t="shared" si="0"/>
        <v>12422.691999999999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3" customFormat="1" ht="17.45" customHeight="1" x14ac:dyDescent="0.15">
      <c r="A24" s="16" t="s">
        <v>91</v>
      </c>
      <c r="B24" s="32">
        <v>4725</v>
      </c>
      <c r="C24" s="59">
        <v>9031.0499999999993</v>
      </c>
      <c r="D24" s="59">
        <v>10107.18</v>
      </c>
      <c r="E24" s="59">
        <v>9284.67</v>
      </c>
      <c r="F24" s="59">
        <v>9238.9500000000007</v>
      </c>
      <c r="G24" s="59">
        <v>21525.77</v>
      </c>
      <c r="H24" s="68">
        <f t="shared" si="0"/>
        <v>11837.524000000001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3" customFormat="1" ht="17.45" customHeight="1" x14ac:dyDescent="0.15">
      <c r="A25" s="34" t="s">
        <v>84</v>
      </c>
      <c r="B25" s="31"/>
      <c r="C25" s="59">
        <f>SUM(C7:C24)</f>
        <v>632405.56000000006</v>
      </c>
      <c r="D25" s="59">
        <f>SUM(D7:D24)</f>
        <v>655164.13</v>
      </c>
      <c r="E25" s="59">
        <f>SUM(E7:E24)</f>
        <v>1125712.1199999999</v>
      </c>
      <c r="F25" s="59">
        <f>SUM(F7:F24)</f>
        <v>965799.60999999987</v>
      </c>
      <c r="G25" s="59">
        <f>SUM(G7:G24)</f>
        <v>928857.87000000011</v>
      </c>
      <c r="H25" s="68">
        <f t="shared" si="0"/>
        <v>861587.85799999977</v>
      </c>
      <c r="I25" s="39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3" customFormat="1" ht="24.95" customHeight="1" x14ac:dyDescent="0.25">
      <c r="A26" s="7" t="s">
        <v>5</v>
      </c>
      <c r="B26" s="28"/>
      <c r="C26" s="14"/>
      <c r="D26" s="14"/>
      <c r="E26" s="14"/>
      <c r="F26" s="14"/>
      <c r="G26" s="14"/>
      <c r="H26" s="68"/>
      <c r="I26" s="3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3" customFormat="1" ht="17.45" customHeight="1" x14ac:dyDescent="0.25">
      <c r="A27" s="34" t="s">
        <v>69</v>
      </c>
      <c r="B27" s="31"/>
      <c r="C27" s="14"/>
      <c r="D27" s="14"/>
      <c r="E27" s="14"/>
      <c r="F27" s="14"/>
      <c r="G27" s="14"/>
      <c r="H27" s="6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3" customFormat="1" ht="17.45" customHeight="1" x14ac:dyDescent="0.15">
      <c r="A28" s="16" t="s">
        <v>139</v>
      </c>
      <c r="B28" s="32">
        <v>4210</v>
      </c>
      <c r="C28" s="59">
        <v>250</v>
      </c>
      <c r="D28" s="59">
        <v>19950</v>
      </c>
      <c r="E28" s="59">
        <v>0</v>
      </c>
      <c r="F28" s="59">
        <v>20780</v>
      </c>
      <c r="G28" s="59">
        <v>600</v>
      </c>
      <c r="H28" s="68">
        <f t="shared" ref="H28:H63" si="1">SUM(C28:G28)/5</f>
        <v>8316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3" customFormat="1" ht="17.45" customHeight="1" x14ac:dyDescent="0.15">
      <c r="A29" s="16" t="s">
        <v>92</v>
      </c>
      <c r="B29" s="32">
        <v>4215</v>
      </c>
      <c r="C29" s="59">
        <v>0</v>
      </c>
      <c r="D29" s="59">
        <v>0</v>
      </c>
      <c r="E29" s="59">
        <v>0</v>
      </c>
      <c r="F29" s="59">
        <v>0</v>
      </c>
      <c r="G29" s="59">
        <v>3000</v>
      </c>
      <c r="H29" s="68">
        <f t="shared" si="1"/>
        <v>600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3" customFormat="1" ht="17.45" customHeight="1" x14ac:dyDescent="0.15">
      <c r="A30" s="16" t="s">
        <v>7</v>
      </c>
      <c r="B30" s="32">
        <v>4220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68">
        <f t="shared" si="1"/>
        <v>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3" customFormat="1" ht="17.45" customHeight="1" x14ac:dyDescent="0.15">
      <c r="A31" s="16" t="s">
        <v>141</v>
      </c>
      <c r="B31" s="32">
        <v>4025</v>
      </c>
      <c r="C31" s="59">
        <v>0</v>
      </c>
      <c r="D31" s="59">
        <v>0</v>
      </c>
      <c r="E31" s="59">
        <v>0</v>
      </c>
      <c r="F31" s="59">
        <v>27162</v>
      </c>
      <c r="G31" s="59">
        <v>8258</v>
      </c>
      <c r="H31" s="68">
        <f t="shared" si="1"/>
        <v>7084</v>
      </c>
      <c r="I31" s="3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3" customFormat="1" ht="17.45" customHeight="1" x14ac:dyDescent="0.15">
      <c r="A32" s="16" t="s">
        <v>93</v>
      </c>
      <c r="B32" s="32">
        <v>4026</v>
      </c>
      <c r="C32" s="59">
        <v>0</v>
      </c>
      <c r="D32" s="59">
        <v>0</v>
      </c>
      <c r="E32" s="59">
        <v>0</v>
      </c>
      <c r="F32" s="59">
        <v>0</v>
      </c>
      <c r="G32" s="59">
        <v>3940.81</v>
      </c>
      <c r="H32" s="68">
        <f t="shared" si="1"/>
        <v>788.16200000000003</v>
      </c>
      <c r="I32" s="3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3" customFormat="1" ht="17.45" customHeight="1" x14ac:dyDescent="0.15">
      <c r="A33" s="16" t="s">
        <v>64</v>
      </c>
      <c r="B33" s="32">
        <v>4385</v>
      </c>
      <c r="C33" s="59">
        <v>0</v>
      </c>
      <c r="D33" s="59">
        <v>0</v>
      </c>
      <c r="E33" s="59">
        <v>0</v>
      </c>
      <c r="F33" s="59">
        <v>0</v>
      </c>
      <c r="G33" s="59">
        <v>9725.5</v>
      </c>
      <c r="H33" s="68">
        <f t="shared" si="1"/>
        <v>1945.1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3" customFormat="1" ht="17.45" customHeight="1" x14ac:dyDescent="0.15">
      <c r="A34" s="16" t="s">
        <v>63</v>
      </c>
      <c r="B34" s="32">
        <v>4370</v>
      </c>
      <c r="C34" s="59">
        <v>0</v>
      </c>
      <c r="D34" s="59">
        <f>21514.11+1203.3</f>
        <v>22717.41</v>
      </c>
      <c r="E34" s="59">
        <f>14951.18+2825</f>
        <v>17776.18</v>
      </c>
      <c r="F34" s="59">
        <f>13676.55+28484+3858.59</f>
        <v>46019.14</v>
      </c>
      <c r="G34" s="59">
        <v>569.88</v>
      </c>
      <c r="H34" s="68">
        <f t="shared" si="1"/>
        <v>17416.522000000001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s="3" customFormat="1" ht="17.45" customHeight="1" x14ac:dyDescent="0.15">
      <c r="A35" s="16" t="s">
        <v>137</v>
      </c>
      <c r="B35" s="32">
        <v>4020</v>
      </c>
      <c r="C35" s="59">
        <v>6612.17</v>
      </c>
      <c r="D35" s="59">
        <f>9403.5+6551.31</f>
        <v>15954.810000000001</v>
      </c>
      <c r="E35" s="59">
        <v>11443.06</v>
      </c>
      <c r="F35" s="59">
        <v>21244.82</v>
      </c>
      <c r="G35" s="59">
        <v>8126.29</v>
      </c>
      <c r="H35" s="68">
        <f t="shared" si="1"/>
        <v>12676.23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3" customFormat="1" ht="17.45" customHeight="1" x14ac:dyDescent="0.15">
      <c r="A36" s="16" t="s">
        <v>164</v>
      </c>
      <c r="B36" s="32"/>
      <c r="C36" s="59">
        <v>11086.22</v>
      </c>
      <c r="D36" s="59">
        <v>6871.6</v>
      </c>
      <c r="E36" s="59">
        <v>706.14</v>
      </c>
      <c r="F36" s="59">
        <v>0</v>
      </c>
      <c r="G36" s="59">
        <v>0</v>
      </c>
      <c r="H36" s="68">
        <f t="shared" si="1"/>
        <v>3732.7919999999999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3" customFormat="1" ht="17.45" customHeight="1" x14ac:dyDescent="0.15">
      <c r="A37" s="16" t="s">
        <v>100</v>
      </c>
      <c r="B37" s="32">
        <v>4045</v>
      </c>
      <c r="C37" s="59">
        <v>0</v>
      </c>
      <c r="D37" s="59">
        <v>0</v>
      </c>
      <c r="E37" s="59">
        <v>0</v>
      </c>
      <c r="F37" s="59">
        <v>0</v>
      </c>
      <c r="G37" s="59">
        <v>756.5</v>
      </c>
      <c r="H37" s="68">
        <f t="shared" si="1"/>
        <v>151.30000000000001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3" customFormat="1" ht="17.45" customHeight="1" x14ac:dyDescent="0.15">
      <c r="A38" s="16" t="s">
        <v>101</v>
      </c>
      <c r="B38" s="32">
        <v>4685</v>
      </c>
      <c r="C38" s="59">
        <v>0</v>
      </c>
      <c r="D38" s="59">
        <v>0</v>
      </c>
      <c r="E38" s="59">
        <v>0</v>
      </c>
      <c r="F38" s="59">
        <v>2202</v>
      </c>
      <c r="G38" s="59">
        <v>350</v>
      </c>
      <c r="H38" s="68">
        <f t="shared" si="1"/>
        <v>510.4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s="3" customFormat="1" ht="17.45" customHeight="1" x14ac:dyDescent="0.15">
      <c r="A39" s="16" t="s">
        <v>6</v>
      </c>
      <c r="B39" s="32">
        <v>4160</v>
      </c>
      <c r="C39" s="59">
        <v>0</v>
      </c>
      <c r="D39" s="59"/>
      <c r="E39" s="59">
        <v>3112.67</v>
      </c>
      <c r="F39" s="59">
        <v>3800</v>
      </c>
      <c r="G39" s="59">
        <v>7037.92</v>
      </c>
      <c r="H39" s="68">
        <f t="shared" si="1"/>
        <v>2790.1179999999999</v>
      </c>
      <c r="I39" s="3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3" customFormat="1" ht="17.45" customHeight="1" x14ac:dyDescent="0.15">
      <c r="A40" s="16" t="s">
        <v>102</v>
      </c>
      <c r="B40" s="32">
        <v>4080</v>
      </c>
      <c r="C40" s="59">
        <v>1185.27</v>
      </c>
      <c r="D40" s="59">
        <v>1175.8599999999999</v>
      </c>
      <c r="E40" s="59">
        <v>8412.11</v>
      </c>
      <c r="F40" s="59">
        <v>6578.99</v>
      </c>
      <c r="G40" s="59">
        <v>8312.9699999999993</v>
      </c>
      <c r="H40" s="68">
        <f t="shared" si="1"/>
        <v>5133.0400000000009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s="3" customFormat="1" ht="17.45" customHeight="1" x14ac:dyDescent="0.25">
      <c r="A41" s="34" t="s">
        <v>70</v>
      </c>
      <c r="B41" s="31"/>
      <c r="C41" s="14"/>
      <c r="D41" s="14"/>
      <c r="E41" s="14"/>
      <c r="F41" s="14"/>
      <c r="G41" s="14"/>
      <c r="H41" s="6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3" customFormat="1" ht="17.45" customHeight="1" x14ac:dyDescent="0.15">
      <c r="A42" s="16" t="s">
        <v>94</v>
      </c>
      <c r="B42" s="32">
        <v>4165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68">
        <f t="shared" si="1"/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3" customFormat="1" ht="17.45" customHeight="1" x14ac:dyDescent="0.15">
      <c r="A43" s="16" t="s">
        <v>95</v>
      </c>
      <c r="B43" s="32">
        <v>4135</v>
      </c>
      <c r="C43" s="59">
        <v>0</v>
      </c>
      <c r="D43" s="59">
        <v>0</v>
      </c>
      <c r="E43" s="59">
        <v>0</v>
      </c>
      <c r="F43" s="59">
        <v>0</v>
      </c>
      <c r="G43" s="59">
        <v>842.62</v>
      </c>
      <c r="H43" s="68">
        <f t="shared" si="1"/>
        <v>168.524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3" customFormat="1" ht="17.45" customHeight="1" x14ac:dyDescent="0.15">
      <c r="A44" s="16" t="s">
        <v>96</v>
      </c>
      <c r="B44" s="32">
        <v>4170</v>
      </c>
      <c r="C44" s="59">
        <v>6486.64</v>
      </c>
      <c r="D44" s="59">
        <v>3611.41</v>
      </c>
      <c r="E44" s="59">
        <v>3425.86</v>
      </c>
      <c r="F44" s="59">
        <v>3403.08</v>
      </c>
      <c r="G44" s="59">
        <v>3335.4</v>
      </c>
      <c r="H44" s="68">
        <f t="shared" si="1"/>
        <v>4052.4780000000001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3" customFormat="1" ht="17.45" customHeight="1" x14ac:dyDescent="0.15">
      <c r="A45" s="16" t="s">
        <v>97</v>
      </c>
      <c r="B45" s="32">
        <v>4175</v>
      </c>
      <c r="C45" s="59">
        <v>2211.3000000000002</v>
      </c>
      <c r="D45" s="59">
        <v>2579.4</v>
      </c>
      <c r="E45" s="59">
        <v>1416.62</v>
      </c>
      <c r="F45" s="59">
        <v>1676.11</v>
      </c>
      <c r="G45" s="59">
        <v>1715.53</v>
      </c>
      <c r="H45" s="68">
        <f t="shared" si="1"/>
        <v>1919.7920000000001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3" customFormat="1" ht="17.45" customHeight="1" x14ac:dyDescent="0.15">
      <c r="A46" s="16" t="s">
        <v>98</v>
      </c>
      <c r="B46" s="32">
        <v>4110</v>
      </c>
      <c r="C46" s="59">
        <v>39505</v>
      </c>
      <c r="D46" s="59">
        <v>40882.129999999997</v>
      </c>
      <c r="E46" s="59">
        <v>39330.089999999997</v>
      </c>
      <c r="F46" s="59">
        <v>37958.82</v>
      </c>
      <c r="G46" s="59">
        <v>36833</v>
      </c>
      <c r="H46" s="68">
        <f t="shared" si="1"/>
        <v>38901.808000000005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3" customFormat="1" ht="17.45" customHeight="1" x14ac:dyDescent="0.15">
      <c r="A47" s="16" t="s">
        <v>99</v>
      </c>
      <c r="B47" s="32">
        <v>4120</v>
      </c>
      <c r="C47" s="59">
        <v>12528.22</v>
      </c>
      <c r="D47" s="59">
        <v>7328.83</v>
      </c>
      <c r="E47" s="59">
        <v>11706.95</v>
      </c>
      <c r="F47" s="59">
        <v>17042.509999999998</v>
      </c>
      <c r="G47" s="59">
        <v>18072.990000000002</v>
      </c>
      <c r="H47" s="68">
        <f t="shared" si="1"/>
        <v>13335.9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3" customFormat="1" ht="17.45" customHeight="1" x14ac:dyDescent="0.15">
      <c r="A48" s="16" t="s">
        <v>142</v>
      </c>
      <c r="B48" s="32">
        <v>4325</v>
      </c>
      <c r="C48" s="59">
        <v>1000</v>
      </c>
      <c r="D48" s="59">
        <v>0</v>
      </c>
      <c r="E48" s="59">
        <v>28500</v>
      </c>
      <c r="F48" s="59">
        <v>1680.61</v>
      </c>
      <c r="G48" s="59">
        <v>0</v>
      </c>
      <c r="H48" s="68">
        <f t="shared" si="1"/>
        <v>6236.1220000000003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3" customFormat="1" ht="17.45" customHeight="1" x14ac:dyDescent="0.25">
      <c r="A49" s="34" t="s">
        <v>8</v>
      </c>
      <c r="B49" s="31"/>
      <c r="C49" s="14"/>
      <c r="D49" s="14"/>
      <c r="E49" s="14"/>
      <c r="F49" s="14"/>
      <c r="G49" s="14"/>
      <c r="H49" s="6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3" customFormat="1" ht="17.45" customHeight="1" x14ac:dyDescent="0.15">
      <c r="A50" s="16" t="s">
        <v>176</v>
      </c>
      <c r="B50" s="32">
        <v>4730</v>
      </c>
      <c r="C50" s="59">
        <v>614.66</v>
      </c>
      <c r="D50" s="59">
        <v>2418.5100000000002</v>
      </c>
      <c r="E50" s="59">
        <v>2769.51</v>
      </c>
      <c r="F50" s="59">
        <v>2130.88</v>
      </c>
      <c r="G50" s="59">
        <v>1918.05</v>
      </c>
      <c r="H50" s="68">
        <f t="shared" si="1"/>
        <v>1970.3220000000001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3" customFormat="1" ht="17.45" customHeight="1" x14ac:dyDescent="0.25">
      <c r="A51" s="34" t="s">
        <v>108</v>
      </c>
      <c r="B51" s="31"/>
      <c r="C51" s="14"/>
      <c r="D51" s="14"/>
      <c r="E51" s="14"/>
      <c r="F51" s="14"/>
      <c r="G51" s="14"/>
      <c r="H51" s="6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3" customFormat="1" ht="17.45" customHeight="1" x14ac:dyDescent="0.15">
      <c r="A52" s="16" t="s">
        <v>104</v>
      </c>
      <c r="B52" s="32">
        <v>4630</v>
      </c>
      <c r="C52" s="59">
        <v>0</v>
      </c>
      <c r="D52" s="59">
        <v>0</v>
      </c>
      <c r="E52" s="59">
        <v>0</v>
      </c>
      <c r="F52" s="59">
        <v>33635.620000000003</v>
      </c>
      <c r="G52" s="59">
        <v>0</v>
      </c>
      <c r="H52" s="68">
        <f t="shared" si="1"/>
        <v>6727.1240000000007</v>
      </c>
      <c r="I52" s="39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3" customFormat="1" ht="17.45" customHeight="1" x14ac:dyDescent="0.15">
      <c r="A53" s="16" t="s">
        <v>9</v>
      </c>
      <c r="B53" s="32">
        <v>4510</v>
      </c>
      <c r="C53" s="59">
        <v>520</v>
      </c>
      <c r="D53" s="59">
        <v>0</v>
      </c>
      <c r="E53" s="59">
        <v>0</v>
      </c>
      <c r="F53" s="59">
        <v>0</v>
      </c>
      <c r="G53" s="59">
        <v>0</v>
      </c>
      <c r="H53" s="68">
        <f t="shared" si="1"/>
        <v>104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3" customFormat="1" ht="17.45" customHeight="1" x14ac:dyDescent="0.15">
      <c r="A54" s="16" t="s">
        <v>165</v>
      </c>
      <c r="B54" s="32"/>
      <c r="C54" s="59">
        <v>5243.33</v>
      </c>
      <c r="D54" s="59">
        <v>8239.76</v>
      </c>
      <c r="E54" s="59">
        <v>8458</v>
      </c>
      <c r="F54" s="59">
        <v>0</v>
      </c>
      <c r="G54" s="59">
        <v>0</v>
      </c>
      <c r="H54" s="68">
        <f t="shared" si="1"/>
        <v>4388.2179999999998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3" customFormat="1" ht="17.45" customHeight="1" x14ac:dyDescent="0.15">
      <c r="A55" s="16" t="s">
        <v>143</v>
      </c>
      <c r="B55" s="32">
        <v>4140</v>
      </c>
      <c r="C55" s="59">
        <v>14349.69</v>
      </c>
      <c r="D55" s="59">
        <v>3959.9</v>
      </c>
      <c r="E55" s="59">
        <v>3770.02</v>
      </c>
      <c r="F55" s="59">
        <v>2831.96</v>
      </c>
      <c r="G55" s="59">
        <v>0</v>
      </c>
      <c r="H55" s="68">
        <f t="shared" si="1"/>
        <v>4982.3140000000003</v>
      </c>
      <c r="I55" s="39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3" customFormat="1" ht="17.45" customHeight="1" x14ac:dyDescent="0.15">
      <c r="A56" s="16" t="s">
        <v>140</v>
      </c>
      <c r="B56" s="32">
        <v>4610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68">
        <f t="shared" si="1"/>
        <v>0</v>
      </c>
      <c r="I56" s="39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3" customFormat="1" ht="17.45" customHeight="1" x14ac:dyDescent="0.15">
      <c r="A57" s="16" t="s">
        <v>71</v>
      </c>
      <c r="B57" s="32">
        <v>4155</v>
      </c>
      <c r="C57" s="59">
        <v>4000</v>
      </c>
      <c r="D57" s="59">
        <v>3481.81</v>
      </c>
      <c r="E57" s="59">
        <v>3600</v>
      </c>
      <c r="F57" s="59">
        <v>3600</v>
      </c>
      <c r="G57" s="59">
        <v>3600</v>
      </c>
      <c r="H57" s="68">
        <f t="shared" si="1"/>
        <v>3656.3619999999996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3" customFormat="1" ht="17.45" customHeight="1" x14ac:dyDescent="0.15">
      <c r="A58" s="34" t="s">
        <v>85</v>
      </c>
      <c r="B58" s="31"/>
      <c r="C58" s="59">
        <f>SUM(C28:C57)</f>
        <v>105592.50000000001</v>
      </c>
      <c r="D58" s="59">
        <f>SUM(D28:D57)</f>
        <v>139171.43</v>
      </c>
      <c r="E58" s="59">
        <f>SUM(E28:E57)</f>
        <v>144427.21</v>
      </c>
      <c r="F58" s="59">
        <f>SUM(F28:F57)</f>
        <v>231746.53999999998</v>
      </c>
      <c r="G58" s="59">
        <f>SUM(G28:G57)</f>
        <v>116995.46</v>
      </c>
      <c r="H58" s="68">
        <f t="shared" si="1"/>
        <v>147586.62799999997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3" customFormat="1" ht="20.100000000000001" customHeight="1" x14ac:dyDescent="0.25">
      <c r="A59" s="19" t="s">
        <v>44</v>
      </c>
      <c r="B59" s="33"/>
      <c r="C59" s="61">
        <f>C25+C58</f>
        <v>737998.06</v>
      </c>
      <c r="D59" s="61">
        <f>D25+D58</f>
        <v>794335.56</v>
      </c>
      <c r="E59" s="61">
        <f>E25+E58</f>
        <v>1270139.3299999998</v>
      </c>
      <c r="F59" s="61">
        <f>F25+F58</f>
        <v>1197546.1499999999</v>
      </c>
      <c r="G59" s="61">
        <f>G25+G58</f>
        <v>1045853.3300000001</v>
      </c>
      <c r="H59" s="69">
        <f t="shared" si="1"/>
        <v>1009174.4859999999</v>
      </c>
      <c r="I59" s="17"/>
      <c r="J59" s="17"/>
      <c r="K59" s="17"/>
      <c r="L59" s="17"/>
      <c r="M59" s="17"/>
      <c r="N59" s="17"/>
      <c r="O59" s="17"/>
      <c r="P59" s="17"/>
      <c r="Q59" s="17"/>
      <c r="R59" s="15"/>
      <c r="S59" s="15"/>
      <c r="T59" s="15"/>
      <c r="U59" s="15"/>
      <c r="V59" s="15"/>
      <c r="W59" s="15"/>
    </row>
    <row r="60" spans="1:23" s="3" customFormat="1" ht="20.100000000000001" customHeight="1" x14ac:dyDescent="0.15">
      <c r="A60" s="8"/>
      <c r="B60" s="29"/>
      <c r="C60" s="11"/>
      <c r="D60" s="11"/>
      <c r="E60" s="11"/>
      <c r="F60" s="11"/>
      <c r="G60" s="11"/>
      <c r="H60" s="68"/>
      <c r="I60" s="17"/>
      <c r="J60" s="17"/>
      <c r="K60" s="17"/>
      <c r="L60" s="17"/>
      <c r="M60" s="17"/>
      <c r="N60" s="17"/>
      <c r="O60" s="17"/>
      <c r="P60" s="17"/>
      <c r="Q60" s="17"/>
      <c r="R60" s="15"/>
      <c r="S60" s="15"/>
      <c r="T60" s="15"/>
      <c r="U60" s="15"/>
      <c r="V60" s="15"/>
      <c r="W60" s="15"/>
    </row>
    <row r="61" spans="1:23" s="3" customFormat="1" ht="20.100000000000001" customHeight="1" x14ac:dyDescent="0.15">
      <c r="A61" s="40" t="s">
        <v>159</v>
      </c>
      <c r="B61" s="29"/>
      <c r="C61" s="11">
        <f>C25</f>
        <v>632405.56000000006</v>
      </c>
      <c r="D61" s="11">
        <f>D25</f>
        <v>655164.13</v>
      </c>
      <c r="E61" s="11">
        <f>E25</f>
        <v>1125712.1199999999</v>
      </c>
      <c r="F61" s="11">
        <f>F25</f>
        <v>965799.60999999987</v>
      </c>
      <c r="G61" s="11">
        <f>G25</f>
        <v>928857.87000000011</v>
      </c>
      <c r="H61" s="68">
        <f t="shared" si="1"/>
        <v>861587.85799999977</v>
      </c>
      <c r="I61" s="17"/>
      <c r="J61" s="17"/>
      <c r="K61" s="17"/>
      <c r="L61" s="17"/>
      <c r="M61" s="17"/>
      <c r="N61" s="17"/>
      <c r="O61" s="17"/>
      <c r="P61" s="17"/>
      <c r="Q61" s="17"/>
      <c r="R61" s="15"/>
      <c r="S61" s="15"/>
      <c r="T61" s="15"/>
      <c r="U61" s="15"/>
      <c r="V61" s="15"/>
      <c r="W61" s="15"/>
    </row>
    <row r="62" spans="1:23" s="4" customFormat="1" ht="18" customHeight="1" x14ac:dyDescent="0.2">
      <c r="A62" s="40" t="s">
        <v>163</v>
      </c>
      <c r="B62" s="29"/>
      <c r="C62" s="20">
        <f>C58</f>
        <v>105592.50000000001</v>
      </c>
      <c r="D62" s="20">
        <f>D58</f>
        <v>139171.43</v>
      </c>
      <c r="E62" s="20">
        <f>E58</f>
        <v>144427.21</v>
      </c>
      <c r="F62" s="20">
        <f>F58</f>
        <v>231746.53999999998</v>
      </c>
      <c r="G62" s="20">
        <f>G58</f>
        <v>116995.46</v>
      </c>
      <c r="H62" s="68">
        <f t="shared" si="1"/>
        <v>147586.62799999997</v>
      </c>
      <c r="I62" s="23"/>
      <c r="J62" s="23"/>
      <c r="K62" s="23"/>
      <c r="L62" s="23"/>
      <c r="M62" s="23"/>
      <c r="N62" s="23"/>
      <c r="O62" s="23"/>
      <c r="P62" s="23"/>
      <c r="Q62" s="23"/>
      <c r="R62" s="10"/>
      <c r="S62" s="10"/>
      <c r="T62" s="10"/>
      <c r="U62" s="10"/>
      <c r="V62" s="10"/>
      <c r="W62" s="10"/>
    </row>
    <row r="63" spans="1:23" s="4" customFormat="1" ht="18" customHeight="1" x14ac:dyDescent="0.2">
      <c r="A63" s="8"/>
      <c r="B63" s="29"/>
      <c r="C63" s="11">
        <f>SUM(C60:C62)</f>
        <v>737998.06</v>
      </c>
      <c r="D63" s="11">
        <f>SUM(D60:D62)</f>
        <v>794335.56</v>
      </c>
      <c r="E63" s="11">
        <f>SUM(E60:E62)</f>
        <v>1270139.3299999998</v>
      </c>
      <c r="F63" s="11">
        <f>SUM(F60:F62)</f>
        <v>1197546.1499999999</v>
      </c>
      <c r="G63" s="11">
        <f>SUM(G60:G62)</f>
        <v>1045853.3300000001</v>
      </c>
      <c r="H63" s="69">
        <f t="shared" si="1"/>
        <v>1009174.4859999999</v>
      </c>
      <c r="I63" s="23"/>
      <c r="J63" s="23"/>
      <c r="K63" s="23"/>
      <c r="L63" s="23"/>
      <c r="M63" s="23"/>
      <c r="N63" s="23"/>
      <c r="O63" s="23"/>
      <c r="P63" s="23"/>
      <c r="Q63" s="23"/>
      <c r="R63" s="10"/>
      <c r="S63" s="10"/>
      <c r="T63" s="10"/>
      <c r="U63" s="10"/>
      <c r="V63" s="10"/>
      <c r="W63" s="10"/>
    </row>
    <row r="64" spans="1:23" s="4" customFormat="1" ht="18" customHeight="1" x14ac:dyDescent="0.2">
      <c r="A64" s="8"/>
      <c r="B64" s="29"/>
      <c r="C64" s="11"/>
      <c r="D64" s="11"/>
      <c r="E64" s="11"/>
      <c r="F64" s="11"/>
      <c r="G64" s="11"/>
      <c r="H64" s="68"/>
      <c r="I64" s="23"/>
      <c r="J64" s="23"/>
      <c r="K64" s="23"/>
      <c r="L64" s="23"/>
      <c r="M64" s="23"/>
      <c r="N64" s="23"/>
      <c r="O64" s="23"/>
      <c r="P64" s="23"/>
      <c r="Q64" s="23"/>
      <c r="R64" s="10"/>
      <c r="S64" s="10"/>
      <c r="T64" s="10"/>
      <c r="U64" s="10"/>
      <c r="V64" s="10"/>
      <c r="W64" s="10"/>
    </row>
    <row r="65" spans="1:23" s="4" customFormat="1" ht="18" customHeight="1" x14ac:dyDescent="0.2">
      <c r="A65" s="8"/>
      <c r="B65" s="29"/>
      <c r="C65" s="11"/>
      <c r="D65" s="11"/>
      <c r="E65" s="11"/>
      <c r="F65" s="11"/>
      <c r="G65" s="11"/>
      <c r="H65" s="68"/>
      <c r="I65" s="23"/>
      <c r="J65" s="23"/>
      <c r="K65" s="23"/>
      <c r="L65" s="23"/>
      <c r="M65" s="23"/>
      <c r="N65" s="23"/>
      <c r="O65" s="23"/>
      <c r="P65" s="23"/>
      <c r="Q65" s="23"/>
      <c r="R65" s="10"/>
      <c r="S65" s="10"/>
      <c r="T65" s="10"/>
      <c r="U65" s="10"/>
      <c r="V65" s="10"/>
      <c r="W65" s="10"/>
    </row>
    <row r="66" spans="1:23" s="4" customFormat="1" ht="18" customHeight="1" x14ac:dyDescent="0.2">
      <c r="A66" s="8"/>
      <c r="B66" s="29"/>
      <c r="C66" s="11"/>
      <c r="D66" s="11"/>
      <c r="E66" s="11"/>
      <c r="F66" s="11"/>
      <c r="G66" s="11"/>
      <c r="H66" s="68"/>
      <c r="I66" s="23"/>
      <c r="J66" s="23"/>
      <c r="K66" s="23"/>
      <c r="L66" s="23"/>
      <c r="M66" s="23"/>
      <c r="N66" s="23"/>
      <c r="O66" s="23"/>
      <c r="P66" s="23"/>
      <c r="Q66" s="23"/>
      <c r="R66" s="10"/>
      <c r="S66" s="10"/>
      <c r="T66" s="10"/>
      <c r="U66" s="10"/>
      <c r="V66" s="10"/>
      <c r="W66" s="10"/>
    </row>
    <row r="67" spans="1:23" s="4" customFormat="1" ht="18" customHeight="1" x14ac:dyDescent="0.2">
      <c r="A67" s="8"/>
      <c r="B67" s="29"/>
      <c r="C67" s="11"/>
      <c r="D67" s="11"/>
      <c r="E67" s="11"/>
      <c r="F67" s="11"/>
      <c r="G67" s="11"/>
      <c r="H67" s="68"/>
      <c r="I67" s="23"/>
      <c r="J67" s="23"/>
      <c r="K67" s="23"/>
      <c r="L67" s="23"/>
      <c r="M67" s="23"/>
      <c r="N67" s="23"/>
      <c r="O67" s="23"/>
      <c r="P67" s="23"/>
      <c r="Q67" s="23"/>
      <c r="R67" s="10"/>
      <c r="S67" s="10"/>
      <c r="T67" s="10"/>
      <c r="U67" s="10"/>
      <c r="V67" s="10"/>
      <c r="W67" s="10"/>
    </row>
    <row r="68" spans="1:23" s="4" customFormat="1" ht="18" customHeight="1" x14ac:dyDescent="0.2">
      <c r="A68" s="8"/>
      <c r="B68" s="29"/>
      <c r="C68" s="11"/>
      <c r="D68" s="11"/>
      <c r="E68" s="11"/>
      <c r="F68" s="11"/>
      <c r="G68" s="11"/>
      <c r="H68" s="68"/>
      <c r="I68" s="23"/>
      <c r="J68" s="23"/>
      <c r="K68" s="23"/>
      <c r="L68" s="23"/>
      <c r="M68" s="23"/>
      <c r="N68" s="23"/>
      <c r="O68" s="23"/>
      <c r="P68" s="23"/>
      <c r="Q68" s="23"/>
      <c r="R68" s="10"/>
      <c r="S68" s="10"/>
      <c r="T68" s="10"/>
      <c r="U68" s="10"/>
      <c r="V68" s="10"/>
      <c r="W68" s="10"/>
    </row>
    <row r="69" spans="1:23" s="4" customFormat="1" ht="18" customHeight="1" x14ac:dyDescent="0.2">
      <c r="A69" s="8"/>
      <c r="B69" s="29"/>
      <c r="C69" s="11"/>
      <c r="D69" s="11"/>
      <c r="E69" s="11"/>
      <c r="F69" s="11"/>
      <c r="G69" s="11"/>
      <c r="H69" s="68"/>
      <c r="I69" s="23"/>
      <c r="J69" s="23"/>
      <c r="K69" s="23"/>
      <c r="L69" s="23"/>
      <c r="M69" s="23"/>
      <c r="N69" s="23"/>
      <c r="O69" s="23"/>
      <c r="P69" s="23"/>
      <c r="Q69" s="23"/>
      <c r="R69" s="10"/>
      <c r="S69" s="10"/>
      <c r="T69" s="10"/>
      <c r="U69" s="10"/>
      <c r="V69" s="10"/>
      <c r="W69" s="10"/>
    </row>
    <row r="70" spans="1:23" s="4" customFormat="1" ht="18" customHeight="1" x14ac:dyDescent="0.2">
      <c r="A70" s="8"/>
      <c r="B70" s="29"/>
      <c r="C70" s="11"/>
      <c r="D70" s="11"/>
      <c r="E70" s="11"/>
      <c r="F70" s="11"/>
      <c r="G70" s="11"/>
      <c r="H70" s="68"/>
      <c r="I70" s="23"/>
      <c r="J70" s="23"/>
      <c r="K70" s="23"/>
      <c r="L70" s="23"/>
      <c r="M70" s="23"/>
      <c r="N70" s="23"/>
      <c r="O70" s="23"/>
      <c r="P70" s="23"/>
      <c r="Q70" s="23"/>
      <c r="R70" s="10"/>
      <c r="S70" s="10"/>
      <c r="T70" s="10"/>
      <c r="U70" s="10"/>
      <c r="V70" s="10"/>
      <c r="W70" s="10"/>
    </row>
    <row r="71" spans="1:23" s="4" customFormat="1" ht="18" customHeight="1" x14ac:dyDescent="0.2">
      <c r="A71" s="8"/>
      <c r="B71" s="29"/>
      <c r="C71" s="11"/>
      <c r="D71" s="11"/>
      <c r="E71" s="11"/>
      <c r="F71" s="11"/>
      <c r="G71" s="11"/>
      <c r="H71" s="68"/>
      <c r="I71" s="23"/>
      <c r="J71" s="23"/>
      <c r="K71" s="23"/>
      <c r="L71" s="23"/>
      <c r="M71" s="23"/>
      <c r="N71" s="23"/>
      <c r="O71" s="23"/>
      <c r="P71" s="23"/>
      <c r="Q71" s="23"/>
      <c r="R71" s="10"/>
      <c r="S71" s="10"/>
      <c r="T71" s="10"/>
      <c r="U71" s="10"/>
      <c r="V71" s="10"/>
      <c r="W71" s="10"/>
    </row>
    <row r="72" spans="1:23" s="4" customFormat="1" ht="18" customHeight="1" x14ac:dyDescent="0.2">
      <c r="A72" s="8"/>
      <c r="B72" s="29"/>
      <c r="C72" s="11"/>
      <c r="D72" s="11"/>
      <c r="E72" s="11"/>
      <c r="F72" s="11"/>
      <c r="G72" s="11"/>
      <c r="H72" s="68"/>
      <c r="I72" s="23"/>
      <c r="J72" s="23"/>
      <c r="K72" s="23"/>
      <c r="L72" s="23"/>
      <c r="M72" s="23"/>
      <c r="N72" s="23"/>
      <c r="O72" s="23"/>
      <c r="P72" s="23"/>
      <c r="Q72" s="23"/>
      <c r="R72" s="10"/>
      <c r="S72" s="10"/>
      <c r="T72" s="10"/>
      <c r="U72" s="10"/>
      <c r="V72" s="10"/>
      <c r="W72" s="10"/>
    </row>
    <row r="73" spans="1:23" s="4" customFormat="1" ht="18" customHeight="1" x14ac:dyDescent="0.2">
      <c r="A73" s="7" t="s">
        <v>11</v>
      </c>
      <c r="B73" s="28"/>
      <c r="C73" s="14"/>
      <c r="D73" s="14"/>
      <c r="E73" s="14"/>
      <c r="F73" s="14"/>
      <c r="G73" s="14"/>
      <c r="H73" s="65" t="s">
        <v>181</v>
      </c>
      <c r="I73" s="23"/>
      <c r="J73" s="23"/>
      <c r="K73" s="23"/>
      <c r="L73" s="23"/>
      <c r="M73" s="23"/>
      <c r="N73" s="23"/>
      <c r="O73" s="9"/>
      <c r="P73" s="23"/>
      <c r="Q73" s="23"/>
      <c r="R73" s="10"/>
      <c r="S73" s="10"/>
      <c r="T73" s="10"/>
      <c r="U73" s="10"/>
      <c r="V73" s="10"/>
      <c r="W73" s="10"/>
    </row>
    <row r="74" spans="1:23" s="4" customFormat="1" ht="17.45" customHeight="1" x14ac:dyDescent="0.2">
      <c r="A74" s="34" t="s">
        <v>12</v>
      </c>
      <c r="B74" s="31"/>
      <c r="C74" s="14"/>
      <c r="D74" s="14"/>
      <c r="E74" s="14"/>
      <c r="F74" s="14"/>
      <c r="G74" s="14"/>
      <c r="H74" s="68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4" customFormat="1" ht="17.45" customHeight="1" x14ac:dyDescent="0.2">
      <c r="A75" s="16" t="s">
        <v>23</v>
      </c>
      <c r="B75" s="32">
        <v>6210</v>
      </c>
      <c r="C75" s="59">
        <v>2514.58</v>
      </c>
      <c r="D75" s="59">
        <v>3335.86</v>
      </c>
      <c r="E75" s="59">
        <v>1132.47</v>
      </c>
      <c r="F75" s="59">
        <v>673.47</v>
      </c>
      <c r="G75" s="59">
        <v>723.57</v>
      </c>
      <c r="H75" s="68">
        <f t="shared" ref="H75:H104" si="2">SUM(C75:G75)/5</f>
        <v>1675.9900000000002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4" customFormat="1" ht="17.45" customHeight="1" x14ac:dyDescent="0.2">
      <c r="A76" s="16" t="s">
        <v>24</v>
      </c>
      <c r="B76" s="32">
        <v>6220</v>
      </c>
      <c r="C76" s="59">
        <f>508.72+3194.06</f>
        <v>3702.7799999999997</v>
      </c>
      <c r="D76" s="59">
        <f>405.69+692.39</f>
        <v>1098.08</v>
      </c>
      <c r="E76" s="59">
        <f>275.51+485.63</f>
        <v>761.14</v>
      </c>
      <c r="F76" s="59">
        <v>50</v>
      </c>
      <c r="G76" s="59">
        <v>2437.7800000000002</v>
      </c>
      <c r="H76" s="68">
        <f t="shared" si="2"/>
        <v>1609.9560000000001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4" customFormat="1" ht="17.45" customHeight="1" x14ac:dyDescent="0.2">
      <c r="A77" s="16" t="s">
        <v>124</v>
      </c>
      <c r="B77" s="32">
        <v>5550</v>
      </c>
      <c r="C77" s="59">
        <v>0</v>
      </c>
      <c r="D77" s="59">
        <v>6820.32</v>
      </c>
      <c r="E77" s="59">
        <v>0</v>
      </c>
      <c r="F77" s="59">
        <v>4169.46</v>
      </c>
      <c r="G77" s="59">
        <v>0</v>
      </c>
      <c r="H77" s="68">
        <f t="shared" si="2"/>
        <v>2197.9559999999997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4" customFormat="1" ht="17.45" customHeight="1" x14ac:dyDescent="0.2">
      <c r="A78" s="16" t="s">
        <v>144</v>
      </c>
      <c r="B78" s="32">
        <v>5210</v>
      </c>
      <c r="C78" s="59">
        <v>11097.9</v>
      </c>
      <c r="D78" s="59">
        <v>10933.84</v>
      </c>
      <c r="E78" s="59">
        <v>10631.53</v>
      </c>
      <c r="F78" s="59">
        <v>11372.67</v>
      </c>
      <c r="G78" s="59">
        <v>14550.64</v>
      </c>
      <c r="H78" s="68">
        <f t="shared" si="2"/>
        <v>11717.315999999999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4" customFormat="1" ht="17.45" customHeight="1" x14ac:dyDescent="0.2">
      <c r="A79" s="16" t="s">
        <v>13</v>
      </c>
      <c r="B79" s="32">
        <v>5410</v>
      </c>
      <c r="C79" s="59">
        <v>16575.13</v>
      </c>
      <c r="D79" s="59">
        <v>24328.29</v>
      </c>
      <c r="E79" s="59">
        <v>14131.62</v>
      </c>
      <c r="F79" s="59">
        <v>17144.560000000001</v>
      </c>
      <c r="G79" s="59">
        <v>7687.6</v>
      </c>
      <c r="H79" s="68">
        <f t="shared" si="2"/>
        <v>15973.440000000002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4" customFormat="1" ht="17.45" customHeight="1" x14ac:dyDescent="0.2">
      <c r="A80" s="34" t="s">
        <v>14</v>
      </c>
      <c r="B80" s="31"/>
      <c r="C80" s="14"/>
      <c r="D80" s="14"/>
      <c r="E80" s="14"/>
      <c r="F80" s="14"/>
      <c r="G80" s="14"/>
      <c r="H80" s="68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4" customFormat="1" ht="17.45" customHeight="1" x14ac:dyDescent="0.2">
      <c r="A81" s="16" t="s">
        <v>124</v>
      </c>
      <c r="B81" s="32">
        <v>5555</v>
      </c>
      <c r="C81" s="59">
        <v>1096.3800000000001</v>
      </c>
      <c r="D81" s="59">
        <v>6820.32</v>
      </c>
      <c r="E81" s="59">
        <v>0</v>
      </c>
      <c r="F81" s="59">
        <v>4169.46</v>
      </c>
      <c r="G81" s="59">
        <f>5156.18+287.55</f>
        <v>5443.7300000000005</v>
      </c>
      <c r="H81" s="68">
        <f t="shared" si="2"/>
        <v>3505.9780000000001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4" customFormat="1" ht="17.45" customHeight="1" x14ac:dyDescent="0.2">
      <c r="A82" s="16" t="s">
        <v>156</v>
      </c>
      <c r="B82" s="32">
        <v>5560</v>
      </c>
      <c r="C82" s="59">
        <v>5246.37</v>
      </c>
      <c r="D82" s="59">
        <v>4384.7700000000004</v>
      </c>
      <c r="E82" s="59">
        <v>5162.53</v>
      </c>
      <c r="F82" s="59">
        <v>1228.0899999999999</v>
      </c>
      <c r="G82" s="59">
        <v>848.22</v>
      </c>
      <c r="H82" s="68">
        <f t="shared" si="2"/>
        <v>3373.9960000000001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4" customFormat="1" ht="17.45" customHeight="1" x14ac:dyDescent="0.2">
      <c r="A83" s="16" t="s">
        <v>61</v>
      </c>
      <c r="B83" s="32">
        <v>5885</v>
      </c>
      <c r="C83" s="59">
        <v>18360.310000000001</v>
      </c>
      <c r="D83" s="59">
        <v>15018.85</v>
      </c>
      <c r="E83" s="59">
        <v>10265.02</v>
      </c>
      <c r="F83" s="59">
        <v>24707.64</v>
      </c>
      <c r="G83" s="59">
        <v>19305.48</v>
      </c>
      <c r="H83" s="68">
        <f t="shared" si="2"/>
        <v>17531.46</v>
      </c>
      <c r="I83" s="3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4" customFormat="1" ht="17.45" customHeight="1" x14ac:dyDescent="0.2">
      <c r="A84" s="16" t="s">
        <v>127</v>
      </c>
      <c r="B84" s="32">
        <v>5415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68">
        <f t="shared" si="2"/>
        <v>0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4" customFormat="1" ht="17.45" customHeight="1" x14ac:dyDescent="0.2">
      <c r="A85" s="16" t="s">
        <v>126</v>
      </c>
      <c r="B85" s="32">
        <v>5420</v>
      </c>
      <c r="C85" s="59">
        <v>32094.82</v>
      </c>
      <c r="D85" s="59">
        <v>19602.88</v>
      </c>
      <c r="E85" s="59">
        <f>20647.22+8</f>
        <v>20655.22</v>
      </c>
      <c r="F85" s="59">
        <v>16736.09</v>
      </c>
      <c r="G85" s="59">
        <v>15636.82</v>
      </c>
      <c r="H85" s="68">
        <f t="shared" si="2"/>
        <v>20945.165999999997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4" customFormat="1" ht="17.45" customHeight="1" x14ac:dyDescent="0.2">
      <c r="A86" s="16" t="s">
        <v>128</v>
      </c>
      <c r="B86" s="32">
        <v>5485</v>
      </c>
      <c r="C86" s="59">
        <v>0</v>
      </c>
      <c r="D86" s="59">
        <v>0</v>
      </c>
      <c r="E86" s="59">
        <v>0</v>
      </c>
      <c r="F86" s="59">
        <v>0</v>
      </c>
      <c r="G86" s="59">
        <v>12446.46</v>
      </c>
      <c r="H86" s="68">
        <f t="shared" si="2"/>
        <v>2489.2919999999999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4" customFormat="1" ht="17.45" customHeight="1" x14ac:dyDescent="0.2">
      <c r="A87" s="16" t="s">
        <v>154</v>
      </c>
      <c r="B87" s="32">
        <v>5880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68">
        <f t="shared" si="2"/>
        <v>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4" customFormat="1" ht="17.45" customHeight="1" x14ac:dyDescent="0.2">
      <c r="A88" s="16" t="s">
        <v>166</v>
      </c>
      <c r="B88" s="32">
        <v>5460</v>
      </c>
      <c r="C88" s="59">
        <v>3434.66</v>
      </c>
      <c r="D88" s="59">
        <v>2545.35</v>
      </c>
      <c r="E88" s="59">
        <v>6405.38</v>
      </c>
      <c r="F88" s="59">
        <v>13632.6</v>
      </c>
      <c r="G88" s="59">
        <v>2573.5100000000002</v>
      </c>
      <c r="H88" s="68">
        <f t="shared" si="2"/>
        <v>5718.3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4" customFormat="1" ht="17.45" customHeight="1" x14ac:dyDescent="0.2">
      <c r="A89" s="16" t="s">
        <v>145</v>
      </c>
      <c r="B89" s="32">
        <v>5470</v>
      </c>
      <c r="C89" s="59">
        <v>7636.19</v>
      </c>
      <c r="D89" s="59">
        <v>11878.52</v>
      </c>
      <c r="E89" s="59">
        <v>9310.8889999999992</v>
      </c>
      <c r="F89" s="59">
        <v>6276.34</v>
      </c>
      <c r="G89" s="59">
        <v>8498</v>
      </c>
      <c r="H89" s="68">
        <f t="shared" si="2"/>
        <v>8719.987799999999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4" customFormat="1" ht="17.45" customHeight="1" x14ac:dyDescent="0.2">
      <c r="A90" s="34" t="s">
        <v>25</v>
      </c>
      <c r="B90" s="31"/>
      <c r="C90" s="14"/>
      <c r="D90" s="14"/>
      <c r="E90" s="14"/>
      <c r="F90" s="14"/>
      <c r="G90" s="14"/>
      <c r="H90" s="6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4" customFormat="1" ht="17.45" customHeight="1" x14ac:dyDescent="0.2">
      <c r="A91" s="16" t="s">
        <v>153</v>
      </c>
      <c r="B91" s="32">
        <v>5930</v>
      </c>
      <c r="C91" s="59">
        <v>1203.75</v>
      </c>
      <c r="D91" s="59">
        <v>2722.82</v>
      </c>
      <c r="E91" s="59">
        <v>570.78</v>
      </c>
      <c r="F91" s="59">
        <v>166.4</v>
      </c>
      <c r="G91" s="59">
        <v>14295.92</v>
      </c>
      <c r="H91" s="68">
        <f t="shared" si="2"/>
        <v>3791.9339999999997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4" customFormat="1" ht="17.45" customHeight="1" x14ac:dyDescent="0.2">
      <c r="A92" s="16" t="s">
        <v>116</v>
      </c>
      <c r="B92" s="32">
        <v>5935</v>
      </c>
      <c r="C92" s="59">
        <v>0</v>
      </c>
      <c r="D92" s="59">
        <v>0</v>
      </c>
      <c r="E92" s="59">
        <v>0</v>
      </c>
      <c r="F92" s="59">
        <v>0</v>
      </c>
      <c r="G92" s="59">
        <v>5682.52</v>
      </c>
      <c r="H92" s="68">
        <f t="shared" si="2"/>
        <v>1136.5040000000001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4" customFormat="1" ht="17.45" customHeight="1" x14ac:dyDescent="0.2">
      <c r="A93" s="16" t="s">
        <v>26</v>
      </c>
      <c r="B93" s="32">
        <v>5980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68">
        <f t="shared" si="2"/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4" customFormat="1" ht="17.45" customHeight="1" x14ac:dyDescent="0.2">
      <c r="A94" s="16" t="s">
        <v>132</v>
      </c>
      <c r="B94" s="32">
        <v>5010</v>
      </c>
      <c r="C94" s="59">
        <v>6572.27</v>
      </c>
      <c r="D94" s="59">
        <f>18154.63+171.29+200.67+441.94+232.24</f>
        <v>19200.77</v>
      </c>
      <c r="E94" s="59">
        <f>13535.69+6.08+90.05</f>
        <v>13631.82</v>
      </c>
      <c r="F94" s="59">
        <v>20956.11</v>
      </c>
      <c r="G94" s="59">
        <f>6954.84+42.19</f>
        <v>6997.03</v>
      </c>
      <c r="H94" s="68">
        <f t="shared" si="2"/>
        <v>13471.6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4" customFormat="1" ht="17.45" customHeight="1" x14ac:dyDescent="0.2">
      <c r="A95" s="16" t="s">
        <v>151</v>
      </c>
      <c r="B95" s="32">
        <v>5960</v>
      </c>
      <c r="C95" s="59">
        <v>2934.99</v>
      </c>
      <c r="D95" s="59">
        <v>3110.69</v>
      </c>
      <c r="E95" s="59">
        <v>3213.64</v>
      </c>
      <c r="F95" s="59">
        <v>3398.06</v>
      </c>
      <c r="G95" s="59">
        <v>3211.86</v>
      </c>
      <c r="H95" s="68">
        <f t="shared" si="2"/>
        <v>3173.848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4" customFormat="1" ht="17.45" customHeight="1" x14ac:dyDescent="0.2">
      <c r="A96" s="16" t="s">
        <v>27</v>
      </c>
      <c r="B96" s="32">
        <v>6140</v>
      </c>
      <c r="C96" s="59">
        <v>7824.25</v>
      </c>
      <c r="D96" s="59">
        <v>4655.79</v>
      </c>
      <c r="E96" s="59">
        <v>4178.8599999999997</v>
      </c>
      <c r="F96" s="59">
        <v>4809.74</v>
      </c>
      <c r="G96" s="59">
        <v>4171.97</v>
      </c>
      <c r="H96" s="68">
        <f t="shared" si="2"/>
        <v>5128.1220000000003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4" customFormat="1" ht="17.45" customHeight="1" x14ac:dyDescent="0.2">
      <c r="A97" s="16" t="s">
        <v>147</v>
      </c>
      <c r="B97" s="32">
        <v>5949</v>
      </c>
      <c r="C97" s="59">
        <v>11212.41</v>
      </c>
      <c r="D97" s="59">
        <v>10030.219999999999</v>
      </c>
      <c r="E97" s="59">
        <v>9822.9599999999991</v>
      </c>
      <c r="F97" s="59">
        <v>11105.73</v>
      </c>
      <c r="G97" s="59">
        <f>2436.96+10908.17</f>
        <v>13345.130000000001</v>
      </c>
      <c r="H97" s="68">
        <f t="shared" si="2"/>
        <v>11103.289999999999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4" customFormat="1" ht="17.45" customHeight="1" x14ac:dyDescent="0.2">
      <c r="A98" s="16" t="s">
        <v>150</v>
      </c>
      <c r="B98" s="32">
        <v>5955</v>
      </c>
      <c r="C98" s="59">
        <v>3449.17</v>
      </c>
      <c r="D98" s="59">
        <v>4192.38</v>
      </c>
      <c r="E98" s="59">
        <v>4588.58</v>
      </c>
      <c r="F98" s="59">
        <v>5051.2700000000004</v>
      </c>
      <c r="G98" s="59">
        <v>3936.69</v>
      </c>
      <c r="H98" s="68">
        <f t="shared" si="2"/>
        <v>4243.6180000000004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4" customFormat="1" ht="17.45" customHeight="1" x14ac:dyDescent="0.2">
      <c r="A99" s="16" t="s">
        <v>149</v>
      </c>
      <c r="B99" s="32">
        <v>5909</v>
      </c>
      <c r="C99" s="59">
        <f>10252.9+18.44</f>
        <v>10271.34</v>
      </c>
      <c r="D99" s="59">
        <v>9639.66</v>
      </c>
      <c r="E99" s="59">
        <v>12027.65</v>
      </c>
      <c r="F99" s="59">
        <v>28596.97</v>
      </c>
      <c r="G99" s="59">
        <f>1272.64+4730.51+3225.27</f>
        <v>9228.42</v>
      </c>
      <c r="H99" s="68">
        <f t="shared" si="2"/>
        <v>13952.808000000001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4" customFormat="1" ht="17.45" customHeight="1" x14ac:dyDescent="0.2">
      <c r="A100" s="16" t="s">
        <v>152</v>
      </c>
      <c r="B100" s="32">
        <v>5920</v>
      </c>
      <c r="C100" s="59">
        <v>18481.439999999999</v>
      </c>
      <c r="D100" s="59">
        <v>24969.61</v>
      </c>
      <c r="E100" s="59">
        <v>20554.5</v>
      </c>
      <c r="F100" s="59">
        <v>20547.14</v>
      </c>
      <c r="G100" s="59">
        <v>20524.86</v>
      </c>
      <c r="H100" s="68">
        <f t="shared" si="2"/>
        <v>21015.510000000002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4" customFormat="1" ht="17.45" customHeight="1" x14ac:dyDescent="0.2">
      <c r="A101" s="16" t="s">
        <v>29</v>
      </c>
      <c r="B101" s="32">
        <v>5085</v>
      </c>
      <c r="C101" s="59">
        <v>2664.99</v>
      </c>
      <c r="D101" s="59">
        <v>6797.42</v>
      </c>
      <c r="E101" s="59">
        <v>5367.46</v>
      </c>
      <c r="F101" s="59">
        <v>5373.27</v>
      </c>
      <c r="G101" s="59">
        <v>3316.63</v>
      </c>
      <c r="H101" s="68">
        <f t="shared" si="2"/>
        <v>4703.9539999999997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4" customFormat="1" ht="17.45" customHeight="1" x14ac:dyDescent="0.2">
      <c r="A102" s="16" t="s">
        <v>148</v>
      </c>
      <c r="B102" s="32">
        <v>5950</v>
      </c>
      <c r="C102" s="59">
        <v>6404.17</v>
      </c>
      <c r="D102" s="59">
        <v>4821.45</v>
      </c>
      <c r="E102" s="59">
        <v>7326.13</v>
      </c>
      <c r="F102" s="59">
        <v>44017.52</v>
      </c>
      <c r="G102" s="59">
        <v>46829.94</v>
      </c>
      <c r="H102" s="68">
        <f t="shared" si="2"/>
        <v>21879.841999999997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4" customFormat="1" ht="17.45" customHeight="1" x14ac:dyDescent="0.2">
      <c r="A103" s="16" t="s">
        <v>28</v>
      </c>
      <c r="B103" s="32">
        <v>6110</v>
      </c>
      <c r="C103" s="59">
        <v>8500</v>
      </c>
      <c r="D103" s="59">
        <v>8500</v>
      </c>
      <c r="E103" s="59">
        <v>9000</v>
      </c>
      <c r="F103" s="59">
        <v>12000</v>
      </c>
      <c r="G103" s="59">
        <v>12000</v>
      </c>
      <c r="H103" s="68">
        <f t="shared" si="2"/>
        <v>10000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4" customFormat="1" ht="17.45" customHeight="1" x14ac:dyDescent="0.2">
      <c r="A104" s="16" t="s">
        <v>146</v>
      </c>
      <c r="B104" s="32">
        <v>5919</v>
      </c>
      <c r="C104" s="59">
        <v>270564.06</v>
      </c>
      <c r="D104" s="59">
        <v>270010.2</v>
      </c>
      <c r="E104" s="59">
        <v>310082.92</v>
      </c>
      <c r="F104" s="59">
        <v>317256.65000000002</v>
      </c>
      <c r="G104" s="59">
        <f>269225.06+17203.05+19308.78+2781.97+6786.98</f>
        <v>315305.83999999997</v>
      </c>
      <c r="H104" s="68">
        <f t="shared" si="2"/>
        <v>296643.93400000001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4" customFormat="1" ht="17.45" customHeight="1" x14ac:dyDescent="0.2">
      <c r="A105" s="34" t="s">
        <v>15</v>
      </c>
      <c r="B105" s="31"/>
      <c r="C105" s="14"/>
      <c r="D105" s="14"/>
      <c r="E105" s="14"/>
      <c r="F105" s="14"/>
      <c r="G105" s="14"/>
      <c r="H105" s="6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4" customFormat="1" ht="17.45" customHeight="1" x14ac:dyDescent="0.2">
      <c r="A106" s="16" t="s">
        <v>72</v>
      </c>
      <c r="B106" s="32"/>
      <c r="C106" s="59"/>
      <c r="D106" s="59"/>
      <c r="E106" s="59"/>
      <c r="F106" s="59"/>
      <c r="G106" s="59"/>
      <c r="H106" s="68"/>
      <c r="I106" s="10"/>
      <c r="J106" s="10"/>
      <c r="K106" s="10"/>
      <c r="L106" s="10"/>
      <c r="M106" s="10"/>
      <c r="N106" s="10"/>
      <c r="O106" s="10"/>
      <c r="P106" s="44"/>
      <c r="Q106" s="44"/>
      <c r="R106" s="44"/>
      <c r="S106" s="44"/>
      <c r="T106" s="10"/>
      <c r="U106" s="10"/>
      <c r="V106" s="10"/>
      <c r="W106" s="10"/>
    </row>
    <row r="107" spans="1:23" s="4" customFormat="1" ht="17.45" customHeight="1" x14ac:dyDescent="0.2">
      <c r="A107" s="16" t="s">
        <v>109</v>
      </c>
      <c r="B107" s="32">
        <v>6005</v>
      </c>
      <c r="C107" s="59">
        <v>10549.6</v>
      </c>
      <c r="D107" s="59">
        <v>11486.56</v>
      </c>
      <c r="E107" s="59">
        <v>12290.2</v>
      </c>
      <c r="F107" s="59">
        <v>7241.05</v>
      </c>
      <c r="G107" s="59">
        <v>3103.2</v>
      </c>
      <c r="H107" s="68">
        <f t="shared" ref="H107:H142" si="3">SUM(C107:G107)/5</f>
        <v>8934.1219999999994</v>
      </c>
      <c r="I107" s="10"/>
      <c r="J107" s="10"/>
      <c r="K107" s="10"/>
      <c r="L107" s="10"/>
      <c r="M107" s="10"/>
      <c r="N107" s="10"/>
      <c r="O107" s="10"/>
      <c r="P107" s="45"/>
      <c r="Q107" s="46"/>
      <c r="R107" s="46"/>
      <c r="S107" s="44"/>
      <c r="T107" s="10"/>
      <c r="U107" s="10"/>
      <c r="V107" s="10"/>
      <c r="W107" s="10"/>
    </row>
    <row r="108" spans="1:23" s="4" customFormat="1" ht="17.45" customHeight="1" x14ac:dyDescent="0.2">
      <c r="A108" s="16" t="s">
        <v>81</v>
      </c>
      <c r="B108" s="32"/>
      <c r="C108" s="59"/>
      <c r="D108" s="59"/>
      <c r="E108" s="59"/>
      <c r="F108" s="59"/>
      <c r="G108" s="59"/>
      <c r="H108" s="68">
        <f t="shared" si="3"/>
        <v>0</v>
      </c>
      <c r="I108" s="10"/>
      <c r="J108" s="10"/>
      <c r="K108" s="10"/>
      <c r="L108" s="10"/>
      <c r="M108" s="10"/>
      <c r="N108" s="10"/>
      <c r="O108" s="10"/>
      <c r="P108" s="45"/>
      <c r="Q108" s="46"/>
      <c r="R108" s="46"/>
      <c r="S108" s="44"/>
      <c r="T108" s="10"/>
      <c r="U108" s="10"/>
      <c r="V108" s="10"/>
      <c r="W108" s="10"/>
    </row>
    <row r="109" spans="1:23" s="4" customFormat="1" ht="17.45" customHeight="1" x14ac:dyDescent="0.2">
      <c r="A109" s="16" t="s">
        <v>133</v>
      </c>
      <c r="B109" s="32">
        <v>5025</v>
      </c>
      <c r="C109" s="59">
        <v>0</v>
      </c>
      <c r="D109" s="59">
        <v>0</v>
      </c>
      <c r="E109" s="59">
        <v>0</v>
      </c>
      <c r="F109" s="59">
        <v>0</v>
      </c>
      <c r="G109" s="59">
        <v>10882.73</v>
      </c>
      <c r="H109" s="68">
        <f t="shared" si="3"/>
        <v>2176.5459999999998</v>
      </c>
      <c r="I109" s="10"/>
      <c r="J109" s="10"/>
      <c r="K109" s="10"/>
      <c r="L109" s="10"/>
      <c r="M109" s="10"/>
      <c r="N109" s="10"/>
      <c r="O109" s="10"/>
      <c r="P109" s="45"/>
      <c r="Q109" s="46"/>
      <c r="R109" s="46"/>
      <c r="S109" s="44"/>
      <c r="T109" s="10"/>
      <c r="U109" s="10"/>
      <c r="V109" s="10"/>
      <c r="W109" s="10"/>
    </row>
    <row r="110" spans="1:23" s="4" customFormat="1" ht="17.45" customHeight="1" x14ac:dyDescent="0.2">
      <c r="A110" s="16" t="s">
        <v>134</v>
      </c>
      <c r="B110" s="32">
        <v>5046</v>
      </c>
      <c r="C110" s="59">
        <v>0</v>
      </c>
      <c r="D110" s="59">
        <v>0</v>
      </c>
      <c r="E110" s="59">
        <v>0</v>
      </c>
      <c r="F110" s="59">
        <v>0</v>
      </c>
      <c r="G110" s="59">
        <v>1500.97</v>
      </c>
      <c r="H110" s="68">
        <f t="shared" si="3"/>
        <v>300.19400000000002</v>
      </c>
      <c r="I110" s="10"/>
      <c r="J110" s="10"/>
      <c r="K110" s="10"/>
      <c r="L110" s="10"/>
      <c r="M110" s="10"/>
      <c r="N110" s="10"/>
      <c r="O110" s="10"/>
      <c r="P110" s="45"/>
      <c r="Q110" s="46"/>
      <c r="R110" s="46"/>
      <c r="S110" s="44"/>
      <c r="T110" s="10"/>
      <c r="U110" s="10"/>
      <c r="V110" s="10"/>
      <c r="W110" s="10"/>
    </row>
    <row r="111" spans="1:23" s="4" customFormat="1" ht="17.45" customHeight="1" x14ac:dyDescent="0.2">
      <c r="A111" s="16" t="s">
        <v>47</v>
      </c>
      <c r="B111" s="32"/>
      <c r="C111" s="59"/>
      <c r="D111" s="59"/>
      <c r="E111" s="59"/>
      <c r="F111" s="59"/>
      <c r="G111" s="59"/>
      <c r="H111" s="68">
        <f t="shared" si="3"/>
        <v>0</v>
      </c>
      <c r="I111" s="10"/>
      <c r="J111" s="10"/>
      <c r="K111" s="10"/>
      <c r="L111" s="10"/>
      <c r="M111" s="10"/>
      <c r="N111" s="10"/>
      <c r="O111" s="10"/>
      <c r="P111" s="45"/>
      <c r="Q111" s="46"/>
      <c r="R111" s="46"/>
      <c r="S111" s="44"/>
      <c r="T111" s="10"/>
      <c r="U111" s="10"/>
      <c r="V111" s="10"/>
      <c r="W111" s="10"/>
    </row>
    <row r="112" spans="1:23" s="4" customFormat="1" ht="17.45" customHeight="1" x14ac:dyDescent="0.2">
      <c r="A112" s="16" t="s">
        <v>34</v>
      </c>
      <c r="B112" s="32">
        <v>5870</v>
      </c>
      <c r="C112" s="59">
        <v>0</v>
      </c>
      <c r="D112" s="59">
        <v>500</v>
      </c>
      <c r="E112" s="59">
        <v>500</v>
      </c>
      <c r="F112" s="59">
        <v>0</v>
      </c>
      <c r="G112" s="59">
        <v>0</v>
      </c>
      <c r="H112" s="68">
        <f t="shared" si="3"/>
        <v>200</v>
      </c>
      <c r="I112" s="10"/>
      <c r="J112" s="10"/>
      <c r="K112" s="10"/>
      <c r="L112" s="10"/>
      <c r="M112" s="10"/>
      <c r="N112" s="10"/>
      <c r="O112" s="10"/>
      <c r="P112" s="45"/>
      <c r="Q112" s="46"/>
      <c r="R112" s="46"/>
      <c r="S112" s="44"/>
      <c r="T112" s="10"/>
      <c r="U112" s="10"/>
      <c r="V112" s="10"/>
      <c r="W112" s="10"/>
    </row>
    <row r="113" spans="1:23" s="4" customFormat="1" ht="17.45" customHeight="1" x14ac:dyDescent="0.2">
      <c r="A113" s="16" t="s">
        <v>73</v>
      </c>
      <c r="B113" s="32"/>
      <c r="C113" s="59"/>
      <c r="D113" s="59"/>
      <c r="E113" s="59"/>
      <c r="F113" s="59"/>
      <c r="G113" s="59"/>
      <c r="H113" s="68"/>
      <c r="I113" s="10"/>
      <c r="J113" s="10"/>
      <c r="K113" s="10"/>
      <c r="L113" s="10"/>
      <c r="M113" s="10"/>
      <c r="N113" s="10"/>
      <c r="O113" s="10"/>
      <c r="P113" s="45"/>
      <c r="Q113" s="46"/>
      <c r="R113" s="46"/>
      <c r="S113" s="44"/>
      <c r="T113" s="10"/>
      <c r="U113" s="10"/>
      <c r="V113" s="10"/>
      <c r="W113" s="10"/>
    </row>
    <row r="114" spans="1:23" s="4" customFormat="1" ht="17.45" customHeight="1" x14ac:dyDescent="0.2">
      <c r="A114" s="16" t="s">
        <v>111</v>
      </c>
      <c r="B114" s="32">
        <v>5110</v>
      </c>
      <c r="C114" s="59">
        <v>4532.05</v>
      </c>
      <c r="D114" s="59">
        <v>8060.74</v>
      </c>
      <c r="E114" s="59">
        <v>6440.15</v>
      </c>
      <c r="F114" s="59">
        <v>8417.16</v>
      </c>
      <c r="G114" s="59">
        <v>5316.33</v>
      </c>
      <c r="H114" s="68">
        <f t="shared" si="3"/>
        <v>6553.2860000000001</v>
      </c>
      <c r="I114" s="10"/>
      <c r="J114" s="10"/>
      <c r="K114" s="10"/>
      <c r="L114" s="10"/>
      <c r="M114" s="10"/>
      <c r="N114" s="10"/>
      <c r="O114" s="10"/>
      <c r="P114" s="45"/>
      <c r="Q114" s="46"/>
      <c r="R114" s="46"/>
      <c r="S114" s="44"/>
      <c r="T114" s="10"/>
      <c r="U114" s="10"/>
      <c r="V114" s="10"/>
      <c r="W114" s="10"/>
    </row>
    <row r="115" spans="1:23" s="4" customFormat="1" ht="17.45" customHeight="1" x14ac:dyDescent="0.2">
      <c r="A115" s="16" t="s">
        <v>112</v>
      </c>
      <c r="B115" s="32">
        <v>5120</v>
      </c>
      <c r="C115" s="59">
        <v>3978.7</v>
      </c>
      <c r="D115" s="59">
        <v>6777.69</v>
      </c>
      <c r="E115" s="59">
        <v>21247.9</v>
      </c>
      <c r="F115" s="59">
        <v>8020</v>
      </c>
      <c r="G115" s="59">
        <v>16012.66</v>
      </c>
      <c r="H115" s="68">
        <f t="shared" si="3"/>
        <v>11207.39</v>
      </c>
      <c r="I115" s="10"/>
      <c r="J115" s="10"/>
      <c r="K115" s="10"/>
      <c r="L115" s="10"/>
      <c r="M115" s="10"/>
      <c r="N115" s="10"/>
      <c r="O115" s="10"/>
      <c r="P115" s="44"/>
      <c r="Q115" s="46"/>
      <c r="R115" s="46"/>
      <c r="S115" s="44"/>
      <c r="T115" s="10"/>
      <c r="U115" s="10"/>
      <c r="V115" s="10"/>
      <c r="W115" s="10"/>
    </row>
    <row r="116" spans="1:23" s="4" customFormat="1" ht="17.45" customHeight="1" x14ac:dyDescent="0.2">
      <c r="A116" s="16" t="s">
        <v>74</v>
      </c>
      <c r="B116" s="32"/>
      <c r="C116" s="59"/>
      <c r="D116" s="59"/>
      <c r="E116" s="59"/>
      <c r="F116" s="59"/>
      <c r="G116" s="59"/>
      <c r="H116" s="68"/>
      <c r="I116" s="10"/>
      <c r="J116" s="10"/>
      <c r="K116" s="10"/>
      <c r="L116" s="10"/>
      <c r="M116" s="10"/>
      <c r="N116" s="10"/>
      <c r="O116" s="10"/>
      <c r="P116" s="10"/>
      <c r="Q116" s="43"/>
      <c r="R116" s="43"/>
      <c r="S116" s="10"/>
      <c r="T116" s="10"/>
      <c r="U116" s="10"/>
      <c r="V116" s="10"/>
      <c r="W116" s="10"/>
    </row>
    <row r="117" spans="1:23" s="4" customFormat="1" ht="17.45" customHeight="1" x14ac:dyDescent="0.2">
      <c r="A117" s="16" t="s">
        <v>114</v>
      </c>
      <c r="B117" s="32">
        <v>5381</v>
      </c>
      <c r="C117" s="59">
        <v>3439.91</v>
      </c>
      <c r="D117" s="59">
        <v>3102.3229999999999</v>
      </c>
      <c r="E117" s="59">
        <v>4384.99</v>
      </c>
      <c r="F117" s="59">
        <f>694.93+15364.43</f>
        <v>16059.36</v>
      </c>
      <c r="G117" s="59">
        <v>35100.06</v>
      </c>
      <c r="H117" s="68">
        <f t="shared" si="3"/>
        <v>12417.328599999999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4" customFormat="1" ht="17.45" customHeight="1" x14ac:dyDescent="0.2">
      <c r="A118" s="16" t="s">
        <v>21</v>
      </c>
      <c r="B118" s="32">
        <v>6320</v>
      </c>
      <c r="C118" s="59">
        <v>7067.61</v>
      </c>
      <c r="D118" s="59">
        <v>9590.7099999999991</v>
      </c>
      <c r="E118" s="59">
        <v>7996.04</v>
      </c>
      <c r="F118" s="59">
        <v>11554.31</v>
      </c>
      <c r="G118" s="59">
        <f>869.82+10923.94</f>
        <v>11793.76</v>
      </c>
      <c r="H118" s="68">
        <f t="shared" si="3"/>
        <v>9600.4860000000008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4" customFormat="1" ht="17.45" customHeight="1" x14ac:dyDescent="0.2">
      <c r="A119" s="16" t="s">
        <v>17</v>
      </c>
      <c r="B119" s="32">
        <v>5350</v>
      </c>
      <c r="C119" s="59">
        <v>8194.5</v>
      </c>
      <c r="D119" s="59">
        <v>6117.5</v>
      </c>
      <c r="E119" s="59">
        <v>10159.5</v>
      </c>
      <c r="F119" s="59">
        <v>15645.08</v>
      </c>
      <c r="G119" s="59">
        <v>19787.84</v>
      </c>
      <c r="H119" s="68">
        <f t="shared" si="3"/>
        <v>11980.884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4" customFormat="1" ht="17.45" customHeight="1" x14ac:dyDescent="0.2">
      <c r="A120" s="16" t="s">
        <v>20</v>
      </c>
      <c r="B120" s="32">
        <v>5315</v>
      </c>
      <c r="C120" s="59">
        <v>0</v>
      </c>
      <c r="D120" s="59">
        <v>0</v>
      </c>
      <c r="E120" s="59">
        <v>0</v>
      </c>
      <c r="F120" s="59">
        <v>0</v>
      </c>
      <c r="G120" s="59">
        <v>920</v>
      </c>
      <c r="H120" s="68">
        <f t="shared" si="3"/>
        <v>184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4" customFormat="1" ht="17.45" customHeight="1" x14ac:dyDescent="0.2">
      <c r="A121" s="16" t="s">
        <v>4</v>
      </c>
      <c r="B121" s="32">
        <v>5330</v>
      </c>
      <c r="C121" s="59">
        <v>5532.77</v>
      </c>
      <c r="D121" s="59">
        <v>4979.95</v>
      </c>
      <c r="E121" s="59">
        <v>7038.15</v>
      </c>
      <c r="F121" s="59">
        <v>10348.200000000001</v>
      </c>
      <c r="G121" s="59">
        <v>5561.39</v>
      </c>
      <c r="H121" s="68">
        <f t="shared" si="3"/>
        <v>6692.0920000000015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4" customFormat="1" ht="17.45" customHeight="1" x14ac:dyDescent="0.2">
      <c r="A122" s="16" t="s">
        <v>115</v>
      </c>
      <c r="B122" s="32">
        <v>5355</v>
      </c>
      <c r="C122" s="59">
        <v>0</v>
      </c>
      <c r="D122" s="59">
        <v>0</v>
      </c>
      <c r="E122" s="59">
        <v>0</v>
      </c>
      <c r="F122" s="59">
        <v>0</v>
      </c>
      <c r="G122" s="59">
        <v>32.799999999999997</v>
      </c>
      <c r="H122" s="68">
        <f t="shared" si="3"/>
        <v>6.56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4" customFormat="1" ht="17.45" customHeight="1" x14ac:dyDescent="0.2">
      <c r="A123" s="16" t="s">
        <v>18</v>
      </c>
      <c r="B123" s="32">
        <v>5370</v>
      </c>
      <c r="C123" s="59">
        <v>3635.91</v>
      </c>
      <c r="D123" s="59">
        <v>4216.63</v>
      </c>
      <c r="E123" s="59">
        <v>6391.44</v>
      </c>
      <c r="F123" s="59">
        <v>10259.92</v>
      </c>
      <c r="G123" s="59">
        <v>6115.71</v>
      </c>
      <c r="H123" s="68">
        <f t="shared" si="3"/>
        <v>6123.9220000000005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4" customFormat="1" ht="17.45" customHeight="1" x14ac:dyDescent="0.2">
      <c r="A124" s="16" t="s">
        <v>113</v>
      </c>
      <c r="B124" s="32">
        <v>5360</v>
      </c>
      <c r="C124" s="59">
        <v>2323.94</v>
      </c>
      <c r="D124" s="59">
        <v>3486.78</v>
      </c>
      <c r="E124" s="59">
        <v>1992.84</v>
      </c>
      <c r="F124" s="59">
        <v>3117.39</v>
      </c>
      <c r="G124" s="59">
        <f>3159.95+1965.7</f>
        <v>5125.6499999999996</v>
      </c>
      <c r="H124" s="68">
        <f t="shared" si="3"/>
        <v>3209.32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4" customFormat="1" ht="17.45" customHeight="1" x14ac:dyDescent="0.2">
      <c r="A125" s="16" t="s">
        <v>19</v>
      </c>
      <c r="B125" s="32">
        <v>5335</v>
      </c>
      <c r="C125" s="59">
        <v>0</v>
      </c>
      <c r="D125" s="59">
        <v>0</v>
      </c>
      <c r="E125" s="59">
        <v>0</v>
      </c>
      <c r="F125" s="59">
        <v>8024.45</v>
      </c>
      <c r="G125" s="59">
        <v>1653.85</v>
      </c>
      <c r="H125" s="68">
        <f t="shared" si="3"/>
        <v>1935.6599999999999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4" customFormat="1" ht="17.45" customHeight="1" x14ac:dyDescent="0.2">
      <c r="A126" s="16" t="s">
        <v>30</v>
      </c>
      <c r="B126" s="32">
        <v>5340</v>
      </c>
      <c r="C126" s="59">
        <v>2384.16</v>
      </c>
      <c r="D126" s="59">
        <v>2908.48</v>
      </c>
      <c r="E126" s="59">
        <v>11534.42</v>
      </c>
      <c r="F126" s="59">
        <v>10608.59</v>
      </c>
      <c r="G126" s="59">
        <v>629.91999999999996</v>
      </c>
      <c r="H126" s="68">
        <f t="shared" si="3"/>
        <v>5613.1139999999996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4" customFormat="1" ht="17.45" customHeight="1" x14ac:dyDescent="0.2">
      <c r="A127" s="16" t="s">
        <v>16</v>
      </c>
      <c r="B127" s="32">
        <v>5260</v>
      </c>
      <c r="C127" s="59">
        <f>3729.11+3890.81</f>
        <v>7619.92</v>
      </c>
      <c r="D127" s="59">
        <f>308.25+9351.49</f>
        <v>9659.74</v>
      </c>
      <c r="E127" s="59">
        <f>1352.16+8046.67</f>
        <v>9398.83</v>
      </c>
      <c r="F127" s="59">
        <f>982.86+13558.51</f>
        <v>14541.37</v>
      </c>
      <c r="G127" s="59">
        <v>14245.57</v>
      </c>
      <c r="H127" s="68">
        <f t="shared" si="3"/>
        <v>11093.085999999999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4" customFormat="1" ht="17.45" customHeight="1" x14ac:dyDescent="0.2">
      <c r="A128" s="16" t="s">
        <v>22</v>
      </c>
      <c r="B128" s="32">
        <v>5320</v>
      </c>
      <c r="C128" s="59">
        <v>54671.76</v>
      </c>
      <c r="D128" s="59">
        <v>42156.9</v>
      </c>
      <c r="E128" s="59">
        <v>59107.75</v>
      </c>
      <c r="F128" s="59">
        <v>78626.91</v>
      </c>
      <c r="G128" s="59">
        <f>2452+63782.99</f>
        <v>66234.989999999991</v>
      </c>
      <c r="H128" s="68">
        <f t="shared" si="3"/>
        <v>60159.661999999997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4" customFormat="1" ht="17.45" customHeight="1" x14ac:dyDescent="0.2">
      <c r="A129" s="16" t="s">
        <v>46</v>
      </c>
      <c r="B129" s="32"/>
      <c r="C129" s="59"/>
      <c r="D129" s="59"/>
      <c r="E129" s="59"/>
      <c r="F129" s="59"/>
      <c r="G129" s="59"/>
      <c r="H129" s="68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4" customFormat="1" ht="17.45" customHeight="1" x14ac:dyDescent="0.2">
      <c r="A130" s="16" t="s">
        <v>35</v>
      </c>
      <c r="B130" s="32">
        <v>5435</v>
      </c>
      <c r="C130" s="59">
        <f>3941.54+3956.66</f>
        <v>7898.2</v>
      </c>
      <c r="D130" s="59">
        <v>4862.3599999999997</v>
      </c>
      <c r="E130" s="59">
        <v>3173.47</v>
      </c>
      <c r="F130" s="59">
        <v>5799.44</v>
      </c>
      <c r="G130" s="59">
        <v>9824</v>
      </c>
      <c r="H130" s="68">
        <f t="shared" si="3"/>
        <v>6311.4939999999997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4" customFormat="1" ht="17.45" customHeight="1" x14ac:dyDescent="0.2">
      <c r="A131" s="16" t="s">
        <v>131</v>
      </c>
      <c r="B131" s="32">
        <v>6260</v>
      </c>
      <c r="C131" s="59">
        <f>197.49+421.45</f>
        <v>618.94000000000005</v>
      </c>
      <c r="D131" s="59">
        <v>763.51</v>
      </c>
      <c r="E131" s="59">
        <v>376.24</v>
      </c>
      <c r="F131" s="59">
        <v>280</v>
      </c>
      <c r="G131" s="59">
        <v>60</v>
      </c>
      <c r="H131" s="68">
        <f t="shared" si="3"/>
        <v>419.738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4" customFormat="1" ht="17.45" customHeight="1" x14ac:dyDescent="0.2">
      <c r="A132" s="34" t="s">
        <v>62</v>
      </c>
      <c r="B132" s="31"/>
      <c r="C132" s="14"/>
      <c r="D132" s="14"/>
      <c r="E132" s="14"/>
      <c r="F132" s="14"/>
      <c r="G132" s="14"/>
      <c r="H132" s="68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4" customFormat="1" ht="17.45" customHeight="1" x14ac:dyDescent="0.2">
      <c r="A133" s="16" t="s">
        <v>72</v>
      </c>
      <c r="B133" s="32"/>
      <c r="C133" s="59"/>
      <c r="D133" s="59"/>
      <c r="E133" s="59"/>
      <c r="F133" s="59"/>
      <c r="G133" s="59"/>
      <c r="H133" s="68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5" customFormat="1" ht="17.45" customHeight="1" x14ac:dyDescent="0.2">
      <c r="A134" s="16" t="s">
        <v>75</v>
      </c>
      <c r="B134" s="32">
        <v>6022</v>
      </c>
      <c r="C134" s="59">
        <v>0</v>
      </c>
      <c r="D134" s="59">
        <v>0</v>
      </c>
      <c r="E134" s="59">
        <v>0</v>
      </c>
      <c r="F134" s="59">
        <v>0</v>
      </c>
      <c r="G134" s="59">
        <v>0</v>
      </c>
      <c r="H134" s="68">
        <f t="shared" si="3"/>
        <v>0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4" customFormat="1" ht="17.45" customHeight="1" x14ac:dyDescent="0.2">
      <c r="A135" s="16" t="s">
        <v>76</v>
      </c>
      <c r="B135" s="32">
        <v>6023</v>
      </c>
      <c r="C135" s="59">
        <v>0</v>
      </c>
      <c r="D135" s="59">
        <v>0</v>
      </c>
      <c r="E135" s="59">
        <v>0</v>
      </c>
      <c r="F135" s="59">
        <v>0</v>
      </c>
      <c r="G135" s="59">
        <v>0</v>
      </c>
      <c r="H135" s="68">
        <f t="shared" si="3"/>
        <v>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7.45" customHeight="1" x14ac:dyDescent="0.2">
      <c r="A136" s="16" t="s">
        <v>31</v>
      </c>
      <c r="B136" s="32">
        <v>6025</v>
      </c>
      <c r="C136" s="59">
        <v>0</v>
      </c>
      <c r="D136" s="59">
        <v>0</v>
      </c>
      <c r="E136" s="59">
        <v>0</v>
      </c>
      <c r="F136" s="59">
        <v>0</v>
      </c>
      <c r="G136" s="59">
        <v>0</v>
      </c>
      <c r="H136" s="68">
        <f t="shared" si="3"/>
        <v>0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7.45" customHeight="1" x14ac:dyDescent="0.2">
      <c r="A137" s="16" t="s">
        <v>30</v>
      </c>
      <c r="B137" s="32">
        <v>6030</v>
      </c>
      <c r="C137" s="59">
        <v>5605.67</v>
      </c>
      <c r="D137" s="59">
        <v>5963.36</v>
      </c>
      <c r="E137" s="59">
        <v>14380.8</v>
      </c>
      <c r="F137" s="59">
        <v>13445.36</v>
      </c>
      <c r="G137" s="59">
        <v>9540.98</v>
      </c>
      <c r="H137" s="68">
        <f t="shared" si="3"/>
        <v>9787.2340000000004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24" customFormat="1" ht="17.45" customHeight="1" x14ac:dyDescent="0.2">
      <c r="A138" s="16" t="s">
        <v>110</v>
      </c>
      <c r="B138" s="32">
        <v>6020</v>
      </c>
      <c r="C138" s="59">
        <v>1091.49</v>
      </c>
      <c r="D138" s="59">
        <v>557.85</v>
      </c>
      <c r="E138" s="59">
        <v>6188.61</v>
      </c>
      <c r="F138" s="59">
        <v>6934.1</v>
      </c>
      <c r="G138" s="59">
        <v>7596.13</v>
      </c>
      <c r="H138" s="68">
        <f t="shared" si="3"/>
        <v>4473.6360000000004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s="4" customFormat="1" ht="17.45" customHeight="1" x14ac:dyDescent="0.2">
      <c r="A139" s="16" t="s">
        <v>81</v>
      </c>
      <c r="B139" s="32"/>
      <c r="C139" s="59"/>
      <c r="D139" s="59"/>
      <c r="E139" s="59"/>
      <c r="F139" s="59"/>
      <c r="G139" s="59"/>
      <c r="H139" s="68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5" customFormat="1" ht="17.45" customHeight="1" x14ac:dyDescent="0.2">
      <c r="A140" s="16" t="s">
        <v>67</v>
      </c>
      <c r="B140" s="32">
        <v>5021</v>
      </c>
      <c r="C140" s="59">
        <f>18241.52</f>
        <v>18241.52</v>
      </c>
      <c r="D140" s="59">
        <f>37444.56</f>
        <v>37444.559999999998</v>
      </c>
      <c r="E140" s="59">
        <f>481067.63</f>
        <v>481067.63</v>
      </c>
      <c r="F140" s="59">
        <v>215492.6</v>
      </c>
      <c r="G140" s="59">
        <v>102222.54</v>
      </c>
      <c r="H140" s="68">
        <f t="shared" si="3"/>
        <v>170893.77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s="5" customFormat="1" ht="17.45" customHeight="1" x14ac:dyDescent="0.2">
      <c r="A141" s="16" t="s">
        <v>135</v>
      </c>
      <c r="B141" s="32">
        <v>5040</v>
      </c>
      <c r="C141" s="59">
        <v>2560.96</v>
      </c>
      <c r="D141" s="59">
        <v>2803.17</v>
      </c>
      <c r="E141" s="59">
        <v>9581.1</v>
      </c>
      <c r="F141" s="59">
        <v>11262.92</v>
      </c>
      <c r="G141" s="59">
        <v>3378.27</v>
      </c>
      <c r="H141" s="68">
        <f t="shared" si="3"/>
        <v>5917.2840000000006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s="5" customFormat="1" ht="17.45" customHeight="1" x14ac:dyDescent="0.2">
      <c r="A142" s="16" t="s">
        <v>3</v>
      </c>
      <c r="B142" s="32">
        <v>5022</v>
      </c>
      <c r="C142" s="59">
        <v>0</v>
      </c>
      <c r="D142" s="59">
        <v>0</v>
      </c>
      <c r="E142" s="59">
        <v>0</v>
      </c>
      <c r="F142" s="59">
        <v>0</v>
      </c>
      <c r="G142" s="59">
        <v>5186.32</v>
      </c>
      <c r="H142" s="68">
        <f t="shared" si="3"/>
        <v>1037.2639999999999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s="4" customFormat="1" ht="17.45" customHeight="1" x14ac:dyDescent="0.2">
      <c r="A143" s="16" t="s">
        <v>48</v>
      </c>
      <c r="B143" s="32"/>
      <c r="C143" s="59"/>
      <c r="D143" s="59"/>
      <c r="E143" s="59"/>
      <c r="F143" s="59"/>
      <c r="G143" s="59"/>
      <c r="H143" s="68"/>
      <c r="I143" s="10"/>
      <c r="J143" s="10"/>
      <c r="K143" s="10"/>
      <c r="L143" s="10"/>
      <c r="M143" s="10"/>
      <c r="N143" s="10"/>
      <c r="O143" s="9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7.45" customHeight="1" x14ac:dyDescent="0.2">
      <c r="A144" s="16" t="s">
        <v>32</v>
      </c>
      <c r="B144" s="32">
        <v>5868</v>
      </c>
      <c r="C144" s="59">
        <v>0</v>
      </c>
      <c r="D144" s="59">
        <v>0</v>
      </c>
      <c r="E144" s="59">
        <v>0</v>
      </c>
      <c r="F144" s="59">
        <v>0</v>
      </c>
      <c r="G144" s="59">
        <v>14223.06</v>
      </c>
      <c r="H144" s="68">
        <f t="shared" ref="H144:H161" si="4">SUM(C144:G144)/5</f>
        <v>2844.6120000000001</v>
      </c>
      <c r="I144" s="10"/>
      <c r="J144" s="10"/>
      <c r="K144" s="10"/>
      <c r="L144" s="10"/>
      <c r="M144" s="10"/>
      <c r="N144" s="10"/>
      <c r="O144" s="9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7.45" customHeight="1" x14ac:dyDescent="0.2">
      <c r="A145" s="16" t="s">
        <v>33</v>
      </c>
      <c r="B145" s="32">
        <v>5867</v>
      </c>
      <c r="C145" s="59">
        <v>0</v>
      </c>
      <c r="D145" s="59">
        <v>0</v>
      </c>
      <c r="E145" s="59">
        <v>0</v>
      </c>
      <c r="F145" s="59">
        <v>0</v>
      </c>
      <c r="G145" s="59">
        <v>5208.1099999999997</v>
      </c>
      <c r="H145" s="68">
        <f t="shared" si="4"/>
        <v>1041.6219999999998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7.45" customHeight="1" x14ac:dyDescent="0.2">
      <c r="A146" s="16" t="s">
        <v>65</v>
      </c>
      <c r="B146" s="32">
        <v>5865</v>
      </c>
      <c r="C146" s="59">
        <v>49661.21</v>
      </c>
      <c r="D146" s="59">
        <v>77844.759999999995</v>
      </c>
      <c r="E146" s="59">
        <v>72600.28</v>
      </c>
      <c r="F146" s="59">
        <v>67239.960000000006</v>
      </c>
      <c r="G146" s="59">
        <v>67934.720000000001</v>
      </c>
      <c r="H146" s="68">
        <f t="shared" si="4"/>
        <v>67056.186000000016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4" customFormat="1" ht="17.45" customHeight="1" x14ac:dyDescent="0.2">
      <c r="A147" s="16" t="s">
        <v>74</v>
      </c>
      <c r="B147" s="32"/>
      <c r="C147" s="59"/>
      <c r="D147" s="59"/>
      <c r="E147" s="59"/>
      <c r="F147" s="59"/>
      <c r="G147" s="59"/>
      <c r="H147" s="68"/>
      <c r="I147" s="10"/>
      <c r="J147" s="10"/>
      <c r="K147" s="10"/>
      <c r="L147" s="10"/>
      <c r="M147" s="10"/>
      <c r="N147" s="10"/>
      <c r="O147" s="9"/>
      <c r="P147" s="10"/>
      <c r="Q147" s="10"/>
      <c r="R147" s="10"/>
      <c r="S147" s="10"/>
      <c r="T147" s="10"/>
      <c r="U147" s="10"/>
      <c r="V147" s="10"/>
      <c r="W147" s="10"/>
    </row>
    <row r="148" spans="1:23" s="4" customFormat="1" ht="17.45" customHeight="1" x14ac:dyDescent="0.2">
      <c r="A148" s="16" t="s">
        <v>16</v>
      </c>
      <c r="B148" s="32">
        <v>5270</v>
      </c>
      <c r="C148" s="59">
        <v>2671.66</v>
      </c>
      <c r="D148" s="59">
        <v>2540.2199999999998</v>
      </c>
      <c r="E148" s="59">
        <v>4410.59</v>
      </c>
      <c r="F148" s="59">
        <v>7638.17</v>
      </c>
      <c r="G148" s="59">
        <v>6155.02</v>
      </c>
      <c r="H148" s="68">
        <f t="shared" si="4"/>
        <v>4683.1319999999996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4" customFormat="1" ht="17.45" customHeight="1" x14ac:dyDescent="0.2">
      <c r="A149" s="16" t="s">
        <v>46</v>
      </c>
      <c r="B149" s="32"/>
      <c r="C149" s="59"/>
      <c r="D149" s="59"/>
      <c r="E149" s="59"/>
      <c r="F149" s="59"/>
      <c r="G149" s="59"/>
      <c r="H149" s="65" t="s">
        <v>182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4" customFormat="1" ht="17.45" customHeight="1" x14ac:dyDescent="0.2">
      <c r="A150" s="16" t="s">
        <v>35</v>
      </c>
      <c r="B150" s="32">
        <v>5475</v>
      </c>
      <c r="C150" s="59">
        <v>0</v>
      </c>
      <c r="D150" s="59">
        <v>0</v>
      </c>
      <c r="E150" s="59">
        <v>0</v>
      </c>
      <c r="F150" s="59">
        <v>5114.07</v>
      </c>
      <c r="G150" s="59">
        <v>839.6</v>
      </c>
      <c r="H150" s="68">
        <f t="shared" si="4"/>
        <v>1190.7339999999999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4" customFormat="1" ht="17.45" customHeight="1" x14ac:dyDescent="0.2">
      <c r="A151" s="16" t="s">
        <v>131</v>
      </c>
      <c r="B151" s="32">
        <v>6250</v>
      </c>
      <c r="C151" s="59">
        <v>467.93</v>
      </c>
      <c r="D151" s="59">
        <v>99</v>
      </c>
      <c r="E151" s="59">
        <v>228.52</v>
      </c>
      <c r="F151" s="59">
        <v>0</v>
      </c>
      <c r="G151" s="59">
        <v>723.42</v>
      </c>
      <c r="H151" s="68">
        <f t="shared" si="4"/>
        <v>303.774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4" customFormat="1" ht="17.45" customHeight="1" x14ac:dyDescent="0.2">
      <c r="A152" s="34" t="s">
        <v>38</v>
      </c>
      <c r="B152" s="31"/>
      <c r="C152" s="14"/>
      <c r="D152" s="14"/>
      <c r="E152" s="14"/>
      <c r="F152" s="14"/>
      <c r="G152" s="14"/>
      <c r="H152" s="68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4" customFormat="1" ht="17.45" customHeight="1" x14ac:dyDescent="0.2">
      <c r="A153" s="16" t="s">
        <v>74</v>
      </c>
      <c r="B153" s="32"/>
      <c r="C153" s="59"/>
      <c r="D153" s="59"/>
      <c r="E153" s="59"/>
      <c r="F153" s="59"/>
      <c r="G153" s="59"/>
      <c r="H153" s="68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4" customFormat="1" ht="17.45" customHeight="1" x14ac:dyDescent="0.2">
      <c r="A154" s="16" t="s">
        <v>36</v>
      </c>
      <c r="B154" s="32">
        <v>5835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68">
        <f t="shared" si="4"/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4" customFormat="1" ht="17.45" customHeight="1" x14ac:dyDescent="0.2">
      <c r="A155" s="16" t="s">
        <v>155</v>
      </c>
      <c r="B155" s="32">
        <v>5840</v>
      </c>
      <c r="C155" s="59">
        <v>110.48</v>
      </c>
      <c r="D155" s="59"/>
      <c r="E155" s="59">
        <v>806.73</v>
      </c>
      <c r="F155" s="59">
        <v>234.36</v>
      </c>
      <c r="G155" s="59">
        <v>86.2</v>
      </c>
      <c r="H155" s="68">
        <f t="shared" si="4"/>
        <v>247.55400000000003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4" customFormat="1" ht="17.45" customHeight="1" x14ac:dyDescent="0.2">
      <c r="A156" s="16" t="s">
        <v>16</v>
      </c>
      <c r="B156" s="32">
        <v>5230</v>
      </c>
      <c r="C156" s="59">
        <v>7051.23</v>
      </c>
      <c r="D156" s="59">
        <v>8576.93</v>
      </c>
      <c r="E156" s="59">
        <v>9749.31</v>
      </c>
      <c r="F156" s="59">
        <v>10229.040000000001</v>
      </c>
      <c r="G156" s="59">
        <v>16066.1</v>
      </c>
      <c r="H156" s="68">
        <f t="shared" si="4"/>
        <v>10334.522000000001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4" customFormat="1" ht="17.45" customHeight="1" x14ac:dyDescent="0.2">
      <c r="A157" s="16" t="s">
        <v>46</v>
      </c>
      <c r="B157" s="32"/>
      <c r="C157" s="59"/>
      <c r="D157" s="59"/>
      <c r="E157" s="59"/>
      <c r="F157" s="59"/>
      <c r="G157" s="59"/>
      <c r="H157" s="68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4" customFormat="1" ht="17.45" customHeight="1" x14ac:dyDescent="0.2">
      <c r="A158" s="16" t="s">
        <v>35</v>
      </c>
      <c r="B158" s="32">
        <v>5480</v>
      </c>
      <c r="C158" s="59">
        <v>7473.36</v>
      </c>
      <c r="D158" s="59">
        <v>10412.17</v>
      </c>
      <c r="E158" s="59">
        <v>6751.84</v>
      </c>
      <c r="F158" s="59">
        <v>10905.97</v>
      </c>
      <c r="G158" s="59">
        <v>11829.18</v>
      </c>
      <c r="H158" s="68">
        <f t="shared" si="4"/>
        <v>9474.503999999999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4" customFormat="1" ht="17.45" customHeight="1" x14ac:dyDescent="0.2">
      <c r="A159" s="16" t="s">
        <v>131</v>
      </c>
      <c r="B159" s="32">
        <v>6240</v>
      </c>
      <c r="C159" s="59">
        <v>237.93</v>
      </c>
      <c r="D159" s="59">
        <f>96.31+10</f>
        <v>106.31</v>
      </c>
      <c r="E159" s="59">
        <v>186.62</v>
      </c>
      <c r="F159" s="59">
        <v>0</v>
      </c>
      <c r="G159" s="59">
        <v>70.88</v>
      </c>
      <c r="H159" s="68">
        <f t="shared" si="4"/>
        <v>120.348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4" customFormat="1" ht="17.45" customHeight="1" x14ac:dyDescent="0.2">
      <c r="A160" s="16" t="s">
        <v>49</v>
      </c>
      <c r="B160" s="32"/>
      <c r="C160" s="59"/>
      <c r="D160" s="59"/>
      <c r="E160" s="59"/>
      <c r="F160" s="59"/>
      <c r="G160" s="59"/>
      <c r="H160" s="68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4" customFormat="1" ht="17.45" customHeight="1" x14ac:dyDescent="0.2">
      <c r="A161" s="16" t="s">
        <v>37</v>
      </c>
      <c r="B161" s="32">
        <v>5090</v>
      </c>
      <c r="C161" s="59">
        <f>1023.12+338.51</f>
        <v>1361.63</v>
      </c>
      <c r="D161" s="59">
        <v>464.37</v>
      </c>
      <c r="E161" s="59">
        <f>242.72+134.56</f>
        <v>377.28</v>
      </c>
      <c r="F161" s="59">
        <v>0</v>
      </c>
      <c r="G161" s="59">
        <v>210</v>
      </c>
      <c r="H161" s="68">
        <f t="shared" si="4"/>
        <v>482.65599999999995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4" customFormat="1" ht="17.45" customHeight="1" x14ac:dyDescent="0.2">
      <c r="A162" s="34" t="s">
        <v>39</v>
      </c>
      <c r="B162" s="31"/>
      <c r="C162" s="14"/>
      <c r="D162" s="14"/>
      <c r="E162" s="14"/>
      <c r="F162" s="14"/>
      <c r="G162" s="14"/>
      <c r="H162" s="68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4" customFormat="1" ht="17.45" customHeight="1" x14ac:dyDescent="0.2">
      <c r="A163" s="16" t="s">
        <v>50</v>
      </c>
      <c r="B163" s="32"/>
      <c r="C163" s="59"/>
      <c r="D163" s="59"/>
      <c r="E163" s="59"/>
      <c r="F163" s="59"/>
      <c r="G163" s="59"/>
      <c r="H163" s="68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24" customFormat="1" ht="17.45" customHeight="1" x14ac:dyDescent="0.2">
      <c r="A164" s="16" t="s">
        <v>121</v>
      </c>
      <c r="B164" s="32">
        <v>5775</v>
      </c>
      <c r="C164" s="59">
        <v>0</v>
      </c>
      <c r="D164" s="59">
        <v>0</v>
      </c>
      <c r="E164" s="59">
        <v>508.5</v>
      </c>
      <c r="F164" s="59">
        <v>188.12</v>
      </c>
      <c r="G164" s="59">
        <v>0</v>
      </c>
      <c r="H164" s="68">
        <f t="shared" ref="H164:H179" si="5">SUM(C164:G164)/5</f>
        <v>139.32400000000001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</row>
    <row r="165" spans="1:23" s="24" customFormat="1" ht="17.45" customHeight="1" x14ac:dyDescent="0.2">
      <c r="A165" s="16" t="s">
        <v>40</v>
      </c>
      <c r="B165" s="32">
        <v>5715</v>
      </c>
      <c r="C165" s="59">
        <v>0</v>
      </c>
      <c r="D165" s="59">
        <v>0</v>
      </c>
      <c r="E165" s="59">
        <v>0</v>
      </c>
      <c r="F165" s="59">
        <v>0</v>
      </c>
      <c r="G165" s="59">
        <v>1295.78</v>
      </c>
      <c r="H165" s="68">
        <f t="shared" si="5"/>
        <v>259.15600000000001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s="24" customFormat="1" ht="17.45" customHeight="1" x14ac:dyDescent="0.2">
      <c r="A166" s="16" t="s">
        <v>117</v>
      </c>
      <c r="B166" s="32">
        <v>5710</v>
      </c>
      <c r="C166" s="59">
        <v>2327.5700000000002</v>
      </c>
      <c r="D166" s="59">
        <v>1211.8499999999999</v>
      </c>
      <c r="E166" s="59">
        <v>0</v>
      </c>
      <c r="F166" s="59">
        <v>60.74</v>
      </c>
      <c r="G166" s="59">
        <v>612.41</v>
      </c>
      <c r="H166" s="68">
        <f t="shared" si="5"/>
        <v>842.5139999999999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s="24" customFormat="1" ht="17.45" customHeight="1" x14ac:dyDescent="0.2">
      <c r="A167" s="16" t="s">
        <v>118</v>
      </c>
      <c r="B167" s="32">
        <v>5725</v>
      </c>
      <c r="C167" s="59">
        <v>450</v>
      </c>
      <c r="D167" s="59">
        <v>174.49</v>
      </c>
      <c r="E167" s="59">
        <v>0</v>
      </c>
      <c r="F167" s="59">
        <v>0</v>
      </c>
      <c r="G167" s="59">
        <v>3000</v>
      </c>
      <c r="H167" s="68">
        <f t="shared" si="5"/>
        <v>724.89799999999991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s="24" customFormat="1" ht="17.45" customHeight="1" x14ac:dyDescent="0.2">
      <c r="A168" s="16" t="s">
        <v>119</v>
      </c>
      <c r="B168" s="32">
        <v>5740</v>
      </c>
      <c r="C168" s="59">
        <v>0</v>
      </c>
      <c r="D168" s="59">
        <v>0</v>
      </c>
      <c r="E168" s="59">
        <v>0</v>
      </c>
      <c r="F168" s="59">
        <v>0</v>
      </c>
      <c r="G168" s="59">
        <v>0</v>
      </c>
      <c r="H168" s="68">
        <f t="shared" si="5"/>
        <v>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s="24" customFormat="1" ht="17.45" customHeight="1" x14ac:dyDescent="0.2">
      <c r="A169" s="16" t="s">
        <v>130</v>
      </c>
      <c r="B169" s="32">
        <v>5820</v>
      </c>
      <c r="C169" s="59">
        <v>32770.26</v>
      </c>
      <c r="D169" s="59">
        <v>0</v>
      </c>
      <c r="E169" s="59">
        <v>0</v>
      </c>
      <c r="F169" s="59">
        <v>0</v>
      </c>
      <c r="G169" s="59">
        <v>0</v>
      </c>
      <c r="H169" s="68">
        <f t="shared" si="5"/>
        <v>6554.0520000000006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s="24" customFormat="1" ht="17.45" customHeight="1" x14ac:dyDescent="0.2">
      <c r="A170" s="16" t="s">
        <v>41</v>
      </c>
      <c r="B170" s="32">
        <v>5730</v>
      </c>
      <c r="C170" s="59">
        <v>0</v>
      </c>
      <c r="D170" s="59">
        <v>0</v>
      </c>
      <c r="E170" s="59">
        <v>0</v>
      </c>
      <c r="F170" s="59">
        <v>1019.58</v>
      </c>
      <c r="G170" s="59">
        <v>0</v>
      </c>
      <c r="H170" s="68">
        <f t="shared" si="5"/>
        <v>203.916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s="24" customFormat="1" ht="17.45" customHeight="1" x14ac:dyDescent="0.2">
      <c r="A171" s="16" t="s">
        <v>120</v>
      </c>
      <c r="B171" s="32">
        <v>5735</v>
      </c>
      <c r="C171" s="59">
        <v>768.07</v>
      </c>
      <c r="D171" s="59">
        <v>1389.79</v>
      </c>
      <c r="E171" s="59">
        <v>25.84</v>
      </c>
      <c r="F171" s="59">
        <v>0</v>
      </c>
      <c r="G171" s="59">
        <v>0</v>
      </c>
      <c r="H171" s="68">
        <f t="shared" si="5"/>
        <v>436.74000000000007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s="24" customFormat="1" ht="17.45" customHeight="1" x14ac:dyDescent="0.2">
      <c r="A172" s="16" t="s">
        <v>129</v>
      </c>
      <c r="B172" s="32">
        <v>5810</v>
      </c>
      <c r="C172" s="59">
        <v>6936.4</v>
      </c>
      <c r="D172" s="59">
        <v>5954.19</v>
      </c>
      <c r="E172" s="59">
        <v>7898.62</v>
      </c>
      <c r="F172" s="59">
        <v>0</v>
      </c>
      <c r="G172" s="59">
        <v>3068.65</v>
      </c>
      <c r="H172" s="68">
        <f t="shared" si="5"/>
        <v>4771.5720000000001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s="24" customFormat="1" ht="17.45" customHeight="1" x14ac:dyDescent="0.2">
      <c r="A173" s="16" t="s">
        <v>30</v>
      </c>
      <c r="B173" s="32">
        <v>5780</v>
      </c>
      <c r="C173" s="59">
        <v>1368.08</v>
      </c>
      <c r="D173" s="59">
        <v>783.36</v>
      </c>
      <c r="E173" s="59">
        <v>2280.48</v>
      </c>
      <c r="F173" s="59">
        <v>1108.79</v>
      </c>
      <c r="G173" s="59">
        <v>0</v>
      </c>
      <c r="H173" s="68">
        <f t="shared" si="5"/>
        <v>1108.1420000000001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s="4" customFormat="1" ht="17.45" customHeight="1" x14ac:dyDescent="0.2">
      <c r="A174" s="16" t="s">
        <v>74</v>
      </c>
      <c r="B174" s="32"/>
      <c r="C174" s="59"/>
      <c r="D174" s="59"/>
      <c r="E174" s="59"/>
      <c r="F174" s="59"/>
      <c r="G174" s="59"/>
      <c r="H174" s="68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4" customFormat="1" ht="17.45" customHeight="1" x14ac:dyDescent="0.2">
      <c r="A175" s="16" t="s">
        <v>16</v>
      </c>
      <c r="B175" s="32">
        <v>5250</v>
      </c>
      <c r="C175" s="59">
        <v>6193.6</v>
      </c>
      <c r="D175" s="59">
        <v>10490.28</v>
      </c>
      <c r="E175" s="59">
        <v>12361.39</v>
      </c>
      <c r="F175" s="59">
        <v>14982.48</v>
      </c>
      <c r="G175" s="59">
        <v>14012.36</v>
      </c>
      <c r="H175" s="68">
        <f t="shared" si="5"/>
        <v>11608.022000000001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4" customFormat="1" ht="17.45" customHeight="1" x14ac:dyDescent="0.2">
      <c r="A176" s="16" t="s">
        <v>46</v>
      </c>
      <c r="B176" s="32"/>
      <c r="C176" s="59"/>
      <c r="D176" s="59"/>
      <c r="E176" s="59"/>
      <c r="F176" s="59"/>
      <c r="G176" s="59"/>
      <c r="H176" s="68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4" customFormat="1" ht="17.45" customHeight="1" x14ac:dyDescent="0.2">
      <c r="A177" s="16" t="s">
        <v>35</v>
      </c>
      <c r="B177" s="32">
        <v>5430</v>
      </c>
      <c r="C177" s="59">
        <v>9434.42</v>
      </c>
      <c r="D177" s="59">
        <v>10426.719999999999</v>
      </c>
      <c r="E177" s="59">
        <v>10274.700000000001</v>
      </c>
      <c r="F177" s="59">
        <v>11149.07</v>
      </c>
      <c r="G177" s="59">
        <v>9296.1299999999992</v>
      </c>
      <c r="H177" s="68">
        <f t="shared" si="5"/>
        <v>10116.208000000001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4" customFormat="1" ht="17.45" customHeight="1" x14ac:dyDescent="0.2">
      <c r="A178" s="16" t="s">
        <v>131</v>
      </c>
      <c r="B178" s="32">
        <v>6230</v>
      </c>
      <c r="C178" s="59">
        <f>27.23+649.46</f>
        <v>676.69</v>
      </c>
      <c r="D178" s="59">
        <v>530.16999999999996</v>
      </c>
      <c r="E178" s="59">
        <v>1168.81</v>
      </c>
      <c r="F178" s="59">
        <v>0</v>
      </c>
      <c r="G178" s="59">
        <v>634.77</v>
      </c>
      <c r="H178" s="68">
        <f t="shared" si="5"/>
        <v>602.08799999999997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4" customFormat="1" ht="17.45" customHeight="1" x14ac:dyDescent="0.2">
      <c r="A179" s="12" t="s">
        <v>83</v>
      </c>
      <c r="B179" s="31"/>
      <c r="C179" s="59">
        <f>SUM(C75:C178)</f>
        <v>731750.08999999973</v>
      </c>
      <c r="D179" s="59">
        <f>SUM(D75:D178)</f>
        <v>771861.51300000015</v>
      </c>
      <c r="E179" s="59">
        <f>SUM(E75:E178)</f>
        <v>1281700.6690000005</v>
      </c>
      <c r="F179" s="59">
        <f>SUM(F75:F178)</f>
        <v>1158987.8000000003</v>
      </c>
      <c r="G179" s="59">
        <f>SUM(G75:G178)</f>
        <v>1046090.6799999999</v>
      </c>
      <c r="H179" s="68">
        <f t="shared" si="5"/>
        <v>998078.15040000004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3" customFormat="1" ht="20.100000000000001" customHeight="1" x14ac:dyDescent="0.25">
      <c r="A180" s="7" t="s">
        <v>43</v>
      </c>
      <c r="B180" s="28"/>
      <c r="C180" s="14"/>
      <c r="D180" s="14"/>
      <c r="E180" s="14"/>
      <c r="F180" s="14"/>
      <c r="G180" s="14"/>
      <c r="H180" s="68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s="3" customFormat="1" ht="17.45" customHeight="1" x14ac:dyDescent="0.25">
      <c r="A181" s="34" t="s">
        <v>12</v>
      </c>
      <c r="B181" s="31"/>
      <c r="C181" s="14"/>
      <c r="D181" s="14"/>
      <c r="E181" s="14"/>
      <c r="F181" s="14"/>
      <c r="G181" s="14"/>
      <c r="H181" s="68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s="4" customFormat="1" ht="17.45" customHeight="1" x14ac:dyDescent="0.2">
      <c r="A182" s="16" t="s">
        <v>122</v>
      </c>
      <c r="B182" s="32">
        <v>5510</v>
      </c>
      <c r="C182" s="59">
        <v>0</v>
      </c>
      <c r="D182" s="59">
        <v>0</v>
      </c>
      <c r="E182" s="59">
        <v>0</v>
      </c>
      <c r="F182" s="59">
        <v>0</v>
      </c>
      <c r="G182" s="59">
        <v>0</v>
      </c>
      <c r="H182" s="68">
        <f t="shared" ref="H182:H191" si="6">SUM(C182:G182)/5</f>
        <v>0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4" customFormat="1" ht="17.45" customHeight="1" x14ac:dyDescent="0.2">
      <c r="A183" s="34" t="s">
        <v>14</v>
      </c>
      <c r="B183" s="31"/>
      <c r="C183" s="59"/>
      <c r="D183" s="59"/>
      <c r="E183" s="59"/>
      <c r="F183" s="59"/>
      <c r="G183" s="59"/>
      <c r="H183" s="68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4" customFormat="1" ht="17.45" customHeight="1" x14ac:dyDescent="0.2">
      <c r="A184" s="16" t="s">
        <v>122</v>
      </c>
      <c r="B184" s="32">
        <v>5515</v>
      </c>
      <c r="C184" s="59">
        <v>381.25</v>
      </c>
      <c r="D184" s="59">
        <v>0</v>
      </c>
      <c r="E184" s="59">
        <v>0</v>
      </c>
      <c r="F184" s="59">
        <v>0</v>
      </c>
      <c r="G184" s="59">
        <v>74.83</v>
      </c>
      <c r="H184" s="68">
        <f t="shared" si="6"/>
        <v>91.215999999999994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4" customFormat="1" ht="17.45" customHeight="1" x14ac:dyDescent="0.2">
      <c r="A185" s="16" t="s">
        <v>123</v>
      </c>
      <c r="B185" s="32">
        <v>5520</v>
      </c>
      <c r="C185" s="59">
        <v>192</v>
      </c>
      <c r="D185" s="59">
        <v>0</v>
      </c>
      <c r="E185" s="59">
        <v>1451.96</v>
      </c>
      <c r="F185" s="59">
        <v>0</v>
      </c>
      <c r="G185" s="59">
        <v>82.62</v>
      </c>
      <c r="H185" s="68">
        <f t="shared" si="6"/>
        <v>345.31599999999997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4" customFormat="1" ht="17.45" customHeight="1" x14ac:dyDescent="0.2">
      <c r="A186" s="34" t="s">
        <v>15</v>
      </c>
      <c r="B186" s="31"/>
      <c r="C186" s="59"/>
      <c r="D186" s="59"/>
      <c r="E186" s="59"/>
      <c r="F186" s="59"/>
      <c r="G186" s="59"/>
      <c r="H186" s="68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4" customFormat="1" ht="17.45" customHeight="1" x14ac:dyDescent="0.2">
      <c r="A187" s="12" t="s">
        <v>60</v>
      </c>
      <c r="B187" s="32">
        <v>6006</v>
      </c>
      <c r="C187" s="59">
        <v>17473.18</v>
      </c>
      <c r="D187" s="59">
        <v>2707.88</v>
      </c>
      <c r="E187" s="59">
        <v>10462.75</v>
      </c>
      <c r="F187" s="59">
        <v>14575</v>
      </c>
      <c r="G187" s="59">
        <v>325</v>
      </c>
      <c r="H187" s="68">
        <f t="shared" si="6"/>
        <v>9108.7619999999988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4" customFormat="1" ht="17.45" customHeight="1" x14ac:dyDescent="0.2">
      <c r="A188" s="34" t="s">
        <v>42</v>
      </c>
      <c r="B188" s="31"/>
      <c r="C188" s="59">
        <f>SUM(C182:C187)</f>
        <v>18046.43</v>
      </c>
      <c r="D188" s="59">
        <f>SUM(D182:D187)</f>
        <v>2707.88</v>
      </c>
      <c r="E188" s="59">
        <f>SUM(E182:E187)</f>
        <v>11914.71</v>
      </c>
      <c r="F188" s="59">
        <f>SUM(F182:F187)</f>
        <v>14575</v>
      </c>
      <c r="G188" s="59">
        <f>SUM(G182:G187)</f>
        <v>482.45</v>
      </c>
      <c r="H188" s="68">
        <f t="shared" si="6"/>
        <v>9545.2939999999999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26" customFormat="1" ht="20.100000000000001" customHeight="1" x14ac:dyDescent="0.25">
      <c r="A189" s="19" t="s">
        <v>45</v>
      </c>
      <c r="B189" s="33"/>
      <c r="C189" s="61">
        <f>C179+C188</f>
        <v>749796.51999999979</v>
      </c>
      <c r="D189" s="61">
        <f>D179+D188</f>
        <v>774569.39300000016</v>
      </c>
      <c r="E189" s="61">
        <f>E179+E188</f>
        <v>1293615.3790000004</v>
      </c>
      <c r="F189" s="61">
        <f>F179+F188</f>
        <v>1173562.8000000003</v>
      </c>
      <c r="G189" s="61">
        <f>G179+G188</f>
        <v>1046573.1299999999</v>
      </c>
      <c r="H189" s="69">
        <f t="shared" si="6"/>
        <v>1007623.4444000002</v>
      </c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1:23" s="3" customFormat="1" ht="15" customHeight="1" x14ac:dyDescent="0.15">
      <c r="A190" s="16"/>
      <c r="B190" s="32"/>
      <c r="C190" s="62"/>
      <c r="D190" s="62"/>
      <c r="E190" s="62"/>
      <c r="F190" s="62"/>
      <c r="G190" s="62"/>
      <c r="H190" s="68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s="4" customFormat="1" ht="17.45" customHeight="1" x14ac:dyDescent="0.2">
      <c r="A191" s="16" t="s">
        <v>51</v>
      </c>
      <c r="B191" s="32"/>
      <c r="C191" s="62">
        <f>SUM(C59-C189)</f>
        <v>-11798.45999999973</v>
      </c>
      <c r="D191" s="62">
        <f>SUM(D59-D189)</f>
        <v>19766.166999999899</v>
      </c>
      <c r="E191" s="62">
        <f>SUM(E59-E189)</f>
        <v>-23476.049000000581</v>
      </c>
      <c r="F191" s="62">
        <f>SUM(F59-F189)</f>
        <v>23983.349999999627</v>
      </c>
      <c r="G191" s="62">
        <f>SUM(G59-G189)</f>
        <v>-719.79999999981374</v>
      </c>
      <c r="H191" s="69">
        <f t="shared" si="6"/>
        <v>1551.0415999998804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4" customFormat="1" ht="5.0999999999999996" customHeight="1" x14ac:dyDescent="0.2">
      <c r="A192" s="16"/>
      <c r="B192" s="32"/>
      <c r="C192" s="18"/>
      <c r="D192" s="18"/>
      <c r="E192" s="18"/>
      <c r="F192" s="18"/>
      <c r="G192" s="18"/>
      <c r="H192" s="68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4" customFormat="1" ht="17.45" customHeight="1" x14ac:dyDescent="0.2">
      <c r="A193" s="34" t="s">
        <v>54</v>
      </c>
      <c r="B193" s="31"/>
      <c r="C193" s="13"/>
      <c r="D193" s="13"/>
      <c r="E193" s="13"/>
      <c r="F193" s="13"/>
      <c r="G193" s="13"/>
      <c r="H193" s="68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4" customFormat="1" ht="17.45" customHeight="1" x14ac:dyDescent="0.2">
      <c r="A194" s="16" t="s">
        <v>177</v>
      </c>
      <c r="B194" s="32">
        <v>4125</v>
      </c>
      <c r="C194" s="59">
        <v>0</v>
      </c>
      <c r="D194" s="59">
        <v>0</v>
      </c>
      <c r="E194" s="59">
        <v>0</v>
      </c>
      <c r="F194" s="59">
        <v>100</v>
      </c>
      <c r="G194" s="59">
        <v>600</v>
      </c>
      <c r="H194" s="68">
        <f t="shared" ref="H194:H199" si="7">SUM(C194:G194)/5</f>
        <v>140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4" customFormat="1" ht="17.45" customHeight="1" x14ac:dyDescent="0.2">
      <c r="A195" s="16" t="s">
        <v>106</v>
      </c>
      <c r="B195" s="32">
        <v>4670</v>
      </c>
      <c r="C195" s="59">
        <v>0</v>
      </c>
      <c r="D195" s="59">
        <v>0</v>
      </c>
      <c r="E195" s="59">
        <v>0</v>
      </c>
      <c r="F195" s="59">
        <v>0</v>
      </c>
      <c r="G195" s="59">
        <v>0</v>
      </c>
      <c r="H195" s="68">
        <f t="shared" si="7"/>
        <v>0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4" customFormat="1" ht="17.45" customHeight="1" x14ac:dyDescent="0.2">
      <c r="A196" s="16" t="s">
        <v>105</v>
      </c>
      <c r="B196" s="32">
        <v>4675</v>
      </c>
      <c r="C196" s="59">
        <v>861.68</v>
      </c>
      <c r="D196" s="59">
        <v>873.69</v>
      </c>
      <c r="E196" s="59">
        <v>815.71</v>
      </c>
      <c r="F196" s="59">
        <v>489.4</v>
      </c>
      <c r="G196" s="59">
        <v>262.02</v>
      </c>
      <c r="H196" s="68">
        <f t="shared" si="7"/>
        <v>660.5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4" customFormat="1" ht="17.45" customHeight="1" x14ac:dyDescent="0.2">
      <c r="A197" s="34" t="s">
        <v>52</v>
      </c>
      <c r="B197" s="31"/>
      <c r="C197" s="59">
        <f>SUM(C194:C196)</f>
        <v>861.68</v>
      </c>
      <c r="D197" s="59">
        <f>SUM(D194:D196)</f>
        <v>873.69</v>
      </c>
      <c r="E197" s="59">
        <f>SUM(E194:E196)</f>
        <v>815.71</v>
      </c>
      <c r="F197" s="59">
        <f>SUM(F194:F196)</f>
        <v>589.4</v>
      </c>
      <c r="G197" s="59">
        <f>SUM(G194:G196)</f>
        <v>862.02</v>
      </c>
      <c r="H197" s="68">
        <f t="shared" si="7"/>
        <v>800.5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4" customFormat="1" ht="5.0999999999999996" customHeight="1" x14ac:dyDescent="0.2">
      <c r="A198" s="16"/>
      <c r="B198" s="32"/>
      <c r="C198" s="62"/>
      <c r="D198" s="62"/>
      <c r="E198" s="62"/>
      <c r="F198" s="62"/>
      <c r="G198" s="62"/>
      <c r="H198" s="68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4" customFormat="1" ht="17.45" customHeight="1" x14ac:dyDescent="0.2">
      <c r="A199" s="16" t="s">
        <v>53</v>
      </c>
      <c r="B199" s="32"/>
      <c r="C199" s="62">
        <f>C191+C197</f>
        <v>-10936.77999999973</v>
      </c>
      <c r="D199" s="62">
        <f>D191+D197</f>
        <v>20639.856999999898</v>
      </c>
      <c r="E199" s="62">
        <f>E191+E197</f>
        <v>-22660.339000000582</v>
      </c>
      <c r="F199" s="62">
        <f>F191+F197</f>
        <v>24572.749999999629</v>
      </c>
      <c r="G199" s="62">
        <f>G191+G197</f>
        <v>142.22000000018625</v>
      </c>
      <c r="H199" s="69">
        <f t="shared" si="7"/>
        <v>2351.5415999998804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4" customFormat="1" ht="5.0999999999999996" customHeight="1" x14ac:dyDescent="0.2">
      <c r="A200" s="16"/>
      <c r="B200" s="32"/>
      <c r="C200" s="18"/>
      <c r="D200" s="18"/>
      <c r="E200" s="18"/>
      <c r="F200" s="18"/>
      <c r="G200" s="18"/>
      <c r="H200" s="68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4" customFormat="1" ht="17.45" customHeight="1" x14ac:dyDescent="0.2">
      <c r="A201" s="34" t="s">
        <v>58</v>
      </c>
      <c r="B201" s="31"/>
      <c r="C201" s="13"/>
      <c r="D201" s="13"/>
      <c r="E201" s="13"/>
      <c r="F201" s="13"/>
      <c r="G201" s="13"/>
      <c r="H201" s="68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4" customFormat="1" ht="17.45" customHeight="1" x14ac:dyDescent="0.2">
      <c r="A202" s="16" t="s">
        <v>55</v>
      </c>
      <c r="B202" s="32">
        <v>6190</v>
      </c>
      <c r="C202" s="59">
        <v>7887.27</v>
      </c>
      <c r="D202" s="59">
        <v>7374.38</v>
      </c>
      <c r="E202" s="59">
        <v>7070.38</v>
      </c>
      <c r="F202" s="59">
        <v>6542.38</v>
      </c>
      <c r="G202" s="59">
        <v>6166.5</v>
      </c>
      <c r="H202" s="68">
        <f t="shared" ref="H202:H216" si="8">SUM(C202:G202)/5</f>
        <v>7008.1820000000007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4" customFormat="1" ht="17.45" customHeight="1" x14ac:dyDescent="0.2">
      <c r="A203" s="16" t="s">
        <v>56</v>
      </c>
      <c r="B203" s="32">
        <v>6135</v>
      </c>
      <c r="C203" s="59">
        <v>0</v>
      </c>
      <c r="D203" s="59">
        <v>0</v>
      </c>
      <c r="E203" s="59">
        <v>0</v>
      </c>
      <c r="F203" s="59">
        <v>0</v>
      </c>
      <c r="G203" s="59">
        <v>0</v>
      </c>
      <c r="H203" s="68">
        <f t="shared" si="8"/>
        <v>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4" customFormat="1" ht="17.45" customHeight="1" x14ac:dyDescent="0.2">
      <c r="A204" s="16" t="s">
        <v>158</v>
      </c>
      <c r="B204" s="32"/>
      <c r="C204" s="59">
        <v>0</v>
      </c>
      <c r="D204" s="59">
        <v>0</v>
      </c>
      <c r="E204" s="59">
        <v>0</v>
      </c>
      <c r="F204" s="59">
        <v>2523.0500000000002</v>
      </c>
      <c r="G204" s="59">
        <v>625</v>
      </c>
      <c r="H204" s="68">
        <f t="shared" si="8"/>
        <v>629.61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4" customFormat="1" ht="17.45" customHeight="1" x14ac:dyDescent="0.2">
      <c r="A205" s="16" t="s">
        <v>77</v>
      </c>
      <c r="B205" s="32">
        <v>4695</v>
      </c>
      <c r="C205" s="59">
        <v>0</v>
      </c>
      <c r="D205" s="59">
        <v>0</v>
      </c>
      <c r="E205" s="59">
        <v>0</v>
      </c>
      <c r="F205" s="59">
        <v>0</v>
      </c>
      <c r="G205" s="59">
        <v>0</v>
      </c>
      <c r="H205" s="68">
        <f t="shared" si="8"/>
        <v>0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4" customFormat="1" ht="17.45" customHeight="1" x14ac:dyDescent="0.2">
      <c r="A206" s="16" t="s">
        <v>107</v>
      </c>
      <c r="B206" s="32">
        <v>6120</v>
      </c>
      <c r="C206" s="59">
        <v>12153.08</v>
      </c>
      <c r="D206" s="59">
        <v>10453.549999999999</v>
      </c>
      <c r="E206" s="59">
        <v>9319.92</v>
      </c>
      <c r="F206" s="59">
        <v>16063.89</v>
      </c>
      <c r="G206" s="59">
        <v>12993.11</v>
      </c>
      <c r="H206" s="68">
        <f t="shared" si="8"/>
        <v>12196.71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4" customFormat="1" ht="17.45" customHeight="1" x14ac:dyDescent="0.2">
      <c r="A207" s="16" t="s">
        <v>125</v>
      </c>
      <c r="B207" s="32">
        <v>5875</v>
      </c>
      <c r="C207" s="59">
        <v>10935.64</v>
      </c>
      <c r="D207" s="59">
        <v>2348.9499999999998</v>
      </c>
      <c r="E207" s="59">
        <v>10092.48</v>
      </c>
      <c r="F207" s="59">
        <v>10000</v>
      </c>
      <c r="G207" s="59">
        <v>7604.1</v>
      </c>
      <c r="H207" s="68">
        <f t="shared" si="8"/>
        <v>8196.2340000000004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4" customFormat="1" ht="17.45" customHeight="1" x14ac:dyDescent="0.2">
      <c r="A208" s="16" t="s">
        <v>82</v>
      </c>
      <c r="B208" s="32"/>
      <c r="C208" s="59">
        <v>45000</v>
      </c>
      <c r="D208" s="59">
        <v>0</v>
      </c>
      <c r="E208" s="59">
        <v>0</v>
      </c>
      <c r="F208" s="59">
        <v>0</v>
      </c>
      <c r="G208" s="59">
        <v>0</v>
      </c>
      <c r="H208" s="68">
        <f t="shared" si="8"/>
        <v>9000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4" customFormat="1" ht="17.45" customHeight="1" x14ac:dyDescent="0.2">
      <c r="A209" s="34" t="s">
        <v>57</v>
      </c>
      <c r="B209" s="31"/>
      <c r="C209" s="59">
        <f>SUM(C202:C208)</f>
        <v>75975.989999999991</v>
      </c>
      <c r="D209" s="59">
        <f>SUM(D202:D208)</f>
        <v>20176.88</v>
      </c>
      <c r="E209" s="59">
        <f>SUM(E202:E208)</f>
        <v>26482.78</v>
      </c>
      <c r="F209" s="59">
        <f>SUM(F202:F208)</f>
        <v>35129.32</v>
      </c>
      <c r="G209" s="59">
        <f>SUM(G202:G208)</f>
        <v>27388.71</v>
      </c>
      <c r="H209" s="68">
        <f t="shared" si="8"/>
        <v>37030.735999999997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4" customFormat="1" ht="5.0999999999999996" customHeight="1" x14ac:dyDescent="0.2">
      <c r="A210" s="16"/>
      <c r="B210" s="32"/>
      <c r="C210" s="22"/>
      <c r="D210" s="22"/>
      <c r="E210" s="22"/>
      <c r="F210" s="22"/>
      <c r="G210" s="22"/>
      <c r="H210" s="68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4" customFormat="1" ht="18" customHeight="1" x14ac:dyDescent="0.2">
      <c r="A211" s="19" t="s">
        <v>59</v>
      </c>
      <c r="B211" s="33"/>
      <c r="C211" s="61">
        <f t="shared" ref="C211:G211" si="9">C199-C209</f>
        <v>-86912.769999999728</v>
      </c>
      <c r="D211" s="61">
        <f t="shared" si="9"/>
        <v>462.97699999989709</v>
      </c>
      <c r="E211" s="61">
        <f t="shared" si="9"/>
        <v>-49143.119000000581</v>
      </c>
      <c r="F211" s="61">
        <f t="shared" si="9"/>
        <v>-10556.570000000371</v>
      </c>
      <c r="G211" s="61">
        <f t="shared" si="9"/>
        <v>-27246.489999999812</v>
      </c>
      <c r="H211" s="70">
        <f t="shared" si="8"/>
        <v>-34679.194400000117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4" customFormat="1" ht="5.0999999999999996" customHeight="1" x14ac:dyDescent="0.2">
      <c r="A212" s="8"/>
      <c r="B212" s="29"/>
      <c r="C212" s="11"/>
      <c r="D212" s="11"/>
      <c r="E212" s="11"/>
      <c r="F212" s="11"/>
      <c r="G212" s="11"/>
      <c r="H212" s="7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6" customFormat="1" ht="17.45" customHeight="1" x14ac:dyDescent="0.2">
      <c r="A213" s="41" t="s">
        <v>160</v>
      </c>
      <c r="B213" s="35"/>
      <c r="C213" s="11">
        <f>C179</f>
        <v>731750.08999999973</v>
      </c>
      <c r="D213" s="11">
        <f>D179</f>
        <v>771861.51300000015</v>
      </c>
      <c r="E213" s="11">
        <f>E179</f>
        <v>1281700.6690000005</v>
      </c>
      <c r="F213" s="11">
        <f>F179</f>
        <v>1158987.8000000003</v>
      </c>
      <c r="G213" s="11">
        <f>G179</f>
        <v>1046090.6799999999</v>
      </c>
      <c r="H213" s="68">
        <f t="shared" si="8"/>
        <v>998078.15040000004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s="6" customFormat="1" ht="17.45" customHeight="1" x14ac:dyDescent="0.2">
      <c r="A214" s="40" t="s">
        <v>161</v>
      </c>
      <c r="B214" s="29"/>
      <c r="C214" s="55">
        <f>C188</f>
        <v>18046.43</v>
      </c>
      <c r="D214" s="55">
        <f>D188</f>
        <v>2707.88</v>
      </c>
      <c r="E214" s="55">
        <f>E188</f>
        <v>11914.71</v>
      </c>
      <c r="F214" s="55">
        <f>F188</f>
        <v>14575</v>
      </c>
      <c r="G214" s="55">
        <f>G188</f>
        <v>482.45</v>
      </c>
      <c r="H214" s="68">
        <f t="shared" si="8"/>
        <v>9545.2939999999999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s="6" customFormat="1" ht="17.45" customHeight="1" x14ac:dyDescent="0.2">
      <c r="A215" s="40" t="s">
        <v>58</v>
      </c>
      <c r="B215" s="29"/>
      <c r="C215" s="20">
        <f>C209-C197</f>
        <v>75114.31</v>
      </c>
      <c r="D215" s="20">
        <f>D209-D197</f>
        <v>19303.190000000002</v>
      </c>
      <c r="E215" s="20">
        <f>E209-E197</f>
        <v>25667.07</v>
      </c>
      <c r="F215" s="20">
        <f>F209-F197</f>
        <v>34539.919999999998</v>
      </c>
      <c r="G215" s="20">
        <f>G209-G197</f>
        <v>26526.69</v>
      </c>
      <c r="H215" s="68">
        <f t="shared" si="8"/>
        <v>36230.235999999997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s="6" customFormat="1" ht="17.45" customHeight="1" x14ac:dyDescent="0.2">
      <c r="A216" s="8"/>
      <c r="B216" s="29"/>
      <c r="C216" s="54">
        <f>SUM(C213:C215)</f>
        <v>824910.82999999984</v>
      </c>
      <c r="D216" s="54">
        <f>SUM(D213:D215)</f>
        <v>793872.5830000001</v>
      </c>
      <c r="E216" s="54">
        <f>SUM(E213:E215)</f>
        <v>1319282.4490000005</v>
      </c>
      <c r="F216" s="54">
        <f>SUM(F213:F215)</f>
        <v>1208102.7200000002</v>
      </c>
      <c r="G216" s="54">
        <f>SUM(G213:G215)</f>
        <v>1073099.8199999998</v>
      </c>
      <c r="H216" s="68">
        <f t="shared" si="8"/>
        <v>1043853.6804000002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s="6" customFormat="1" ht="6" customHeight="1" x14ac:dyDescent="0.2">
      <c r="A217" s="8"/>
      <c r="B217" s="29"/>
      <c r="C217" s="11"/>
      <c r="D217" s="11"/>
      <c r="E217" s="11"/>
      <c r="F217" s="11"/>
      <c r="G217" s="11"/>
      <c r="H217" s="6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s="52" customFormat="1" ht="17.45" customHeight="1" thickBot="1" x14ac:dyDescent="0.25">
      <c r="A218" s="53" t="s">
        <v>168</v>
      </c>
      <c r="B218" s="75" t="s">
        <v>183</v>
      </c>
      <c r="C218" s="56">
        <f t="shared" ref="C218:H218" si="10">C63-C216</f>
        <v>-86912.769999999786</v>
      </c>
      <c r="D218" s="56">
        <f t="shared" si="10"/>
        <v>462.9769999999553</v>
      </c>
      <c r="E218" s="56">
        <f t="shared" si="10"/>
        <v>-49143.119000000646</v>
      </c>
      <c r="F218" s="56">
        <f t="shared" si="10"/>
        <v>-10556.570000000298</v>
      </c>
      <c r="G218" s="56">
        <f t="shared" si="10"/>
        <v>-27246.489999999758</v>
      </c>
      <c r="H218" s="72">
        <f t="shared" si="10"/>
        <v>-34679.19440000027</v>
      </c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</row>
    <row r="219" spans="1:23" s="57" customFormat="1" ht="5.0999999999999996" customHeight="1" thickTop="1" x14ac:dyDescent="0.2">
      <c r="A219" s="47"/>
      <c r="B219" s="47"/>
      <c r="C219" s="47"/>
      <c r="D219" s="47"/>
      <c r="E219" s="47"/>
      <c r="F219" s="47"/>
      <c r="G219" s="47"/>
      <c r="H219" s="73"/>
      <c r="I219" s="47"/>
      <c r="J219" s="47"/>
      <c r="K219" s="47"/>
      <c r="L219" s="47"/>
      <c r="M219" s="47"/>
      <c r="N219" s="47"/>
      <c r="O219" s="47"/>
      <c r="P219" s="51"/>
      <c r="Q219" s="51"/>
      <c r="R219" s="51"/>
      <c r="S219" s="51"/>
      <c r="T219" s="51"/>
      <c r="U219" s="51"/>
      <c r="V219" s="51"/>
      <c r="W219" s="51"/>
    </row>
    <row r="220" spans="1:23" s="57" customFormat="1" ht="17.45" customHeight="1" x14ac:dyDescent="0.2">
      <c r="A220" s="47" t="s">
        <v>179</v>
      </c>
      <c r="B220" s="47"/>
      <c r="C220" s="47"/>
      <c r="D220" s="47"/>
      <c r="E220" s="47"/>
      <c r="F220" s="47"/>
      <c r="G220" s="47"/>
      <c r="H220" s="74"/>
      <c r="I220" s="47"/>
      <c r="J220" s="47"/>
      <c r="K220" s="47"/>
      <c r="L220" s="47"/>
      <c r="M220" s="47"/>
      <c r="N220" s="47"/>
      <c r="O220" s="47"/>
      <c r="P220" s="51"/>
      <c r="Q220" s="51"/>
      <c r="R220" s="51"/>
      <c r="S220" s="51"/>
      <c r="T220" s="51"/>
      <c r="U220" s="51"/>
      <c r="V220" s="51"/>
      <c r="W220" s="51"/>
    </row>
    <row r="221" spans="1:23" ht="17.45" customHeight="1" x14ac:dyDescent="0.2">
      <c r="A221" s="47" t="s">
        <v>178</v>
      </c>
      <c r="C221" s="58"/>
    </row>
    <row r="222" spans="1:23" ht="5.0999999999999996" customHeight="1" x14ac:dyDescent="0.2"/>
    <row r="223" spans="1:23" s="57" customFormat="1" ht="17.45" customHeight="1" x14ac:dyDescent="0.2">
      <c r="A223" s="76" t="s">
        <v>184</v>
      </c>
      <c r="B223" s="47"/>
      <c r="C223" s="47"/>
      <c r="D223" s="47"/>
      <c r="E223" s="47"/>
      <c r="F223" s="47"/>
      <c r="G223" s="47"/>
      <c r="H223" s="74"/>
      <c r="I223" s="47"/>
      <c r="J223" s="47"/>
      <c r="K223" s="47"/>
      <c r="L223" s="47"/>
      <c r="M223" s="47"/>
      <c r="N223" s="47"/>
      <c r="O223" s="47"/>
      <c r="P223" s="51"/>
      <c r="Q223" s="51"/>
      <c r="R223" s="51"/>
      <c r="S223" s="51"/>
      <c r="T223" s="51"/>
      <c r="U223" s="51"/>
      <c r="V223" s="51"/>
      <c r="W223" s="51"/>
    </row>
    <row r="224" spans="1:23" x14ac:dyDescent="0.2">
      <c r="B224" s="63"/>
    </row>
    <row r="225" spans="2:2" ht="5.0999999999999996" customHeight="1" x14ac:dyDescent="0.2"/>
    <row r="226" spans="2:2" x14ac:dyDescent="0.2">
      <c r="B226" s="64"/>
    </row>
  </sheetData>
  <mergeCells count="6">
    <mergeCell ref="C3:C4"/>
    <mergeCell ref="G3:G4"/>
    <mergeCell ref="I5:O5"/>
    <mergeCell ref="D3:D4"/>
    <mergeCell ref="E3:E4"/>
    <mergeCell ref="F3:F4"/>
  </mergeCells>
  <pageMargins left="0.25" right="0.25" top="0.9" bottom="0.9" header="0.3" footer="0.3"/>
  <pageSetup paperSize="5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year comparative</vt:lpstr>
      <vt:lpstr>'5 year comparative'!Print_Area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Renee Thivierge</cp:lastModifiedBy>
  <cp:lastPrinted>2018-05-15T22:11:25Z</cp:lastPrinted>
  <dcterms:created xsi:type="dcterms:W3CDTF">2016-05-31T16:01:17Z</dcterms:created>
  <dcterms:modified xsi:type="dcterms:W3CDTF">2018-05-23T21:31:43Z</dcterms:modified>
  <cp:contentStatus/>
</cp:coreProperties>
</file>